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definedNames>
    <definedName name="_xlnm.Print_Titles" localSheetId="0">Информация!$5:$7</definedName>
  </definedNames>
  <calcPr calcId="125725"/>
</workbook>
</file>

<file path=xl/calcChain.xml><?xml version="1.0" encoding="utf-8"?>
<calcChain xmlns="http://schemas.openxmlformats.org/spreadsheetml/2006/main">
  <c r="D92" i="2"/>
  <c r="C92"/>
  <c r="B92"/>
  <c r="C90"/>
  <c r="B90"/>
  <c r="C89"/>
  <c r="B89"/>
  <c r="J82"/>
  <c r="C88"/>
  <c r="B88"/>
  <c r="C87"/>
  <c r="B87"/>
  <c r="C86"/>
  <c r="B86"/>
  <c r="C83"/>
  <c r="B83"/>
  <c r="C82"/>
  <c r="B82"/>
  <c r="C81"/>
  <c r="B81"/>
  <c r="C79"/>
  <c r="B79"/>
  <c r="C78"/>
  <c r="B78"/>
  <c r="C77"/>
  <c r="B77"/>
  <c r="C76"/>
  <c r="B76"/>
  <c r="C75"/>
  <c r="B75"/>
  <c r="C74"/>
  <c r="B74"/>
  <c r="C73"/>
  <c r="B73"/>
  <c r="C72"/>
  <c r="B72"/>
  <c r="C71"/>
  <c r="B71"/>
  <c r="C69"/>
  <c r="B69"/>
  <c r="C68"/>
  <c r="B68"/>
  <c r="I65"/>
  <c r="C65"/>
  <c r="J65" s="1"/>
  <c r="B65"/>
  <c r="C67"/>
  <c r="B67"/>
  <c r="C66"/>
  <c r="B66"/>
  <c r="C64"/>
  <c r="B64"/>
  <c r="C63"/>
  <c r="B63"/>
  <c r="C62"/>
  <c r="B62"/>
  <c r="C61"/>
  <c r="B61"/>
  <c r="C60"/>
  <c r="B60"/>
  <c r="C59"/>
  <c r="B59"/>
  <c r="C58"/>
  <c r="B58"/>
  <c r="C56"/>
  <c r="B56"/>
  <c r="C55"/>
  <c r="B55"/>
  <c r="C54"/>
  <c r="B54"/>
  <c r="C53"/>
  <c r="B53"/>
  <c r="C52"/>
  <c r="B52"/>
  <c r="C51"/>
  <c r="B51"/>
  <c r="J50"/>
  <c r="H50"/>
  <c r="C50"/>
  <c r="I50" s="1"/>
  <c r="B50"/>
  <c r="C49"/>
  <c r="B49"/>
  <c r="C47"/>
  <c r="B47"/>
  <c r="C46"/>
  <c r="B46"/>
  <c r="D43"/>
  <c r="C43"/>
  <c r="I43" s="1"/>
  <c r="B43"/>
  <c r="J42"/>
  <c r="J45"/>
  <c r="C45"/>
  <c r="B45"/>
  <c r="C42"/>
  <c r="B42"/>
  <c r="C41"/>
  <c r="D40"/>
  <c r="D41"/>
  <c r="B41"/>
  <c r="C40"/>
  <c r="B40"/>
  <c r="C39"/>
  <c r="B39"/>
  <c r="C38"/>
  <c r="D38" s="1"/>
  <c r="B38"/>
  <c r="C37"/>
  <c r="B37"/>
  <c r="C36"/>
  <c r="B36"/>
  <c r="C35"/>
  <c r="B35"/>
  <c r="C34"/>
  <c r="B34"/>
  <c r="C33"/>
  <c r="D33" s="1"/>
  <c r="B33"/>
  <c r="C31"/>
  <c r="B31"/>
  <c r="C29"/>
  <c r="B29"/>
  <c r="B28"/>
  <c r="C28"/>
  <c r="B27"/>
  <c r="I27"/>
  <c r="E25"/>
  <c r="C27"/>
  <c r="J26"/>
  <c r="B26"/>
  <c r="C26"/>
  <c r="C25"/>
  <c r="B25"/>
  <c r="C23"/>
  <c r="B23"/>
  <c r="C22"/>
  <c r="B22"/>
  <c r="C21"/>
  <c r="B21"/>
  <c r="C20"/>
  <c r="B20"/>
  <c r="C19"/>
  <c r="B19"/>
  <c r="C18"/>
  <c r="B18"/>
  <c r="C17"/>
  <c r="B17"/>
  <c r="C15"/>
  <c r="B15"/>
  <c r="C13"/>
  <c r="B13"/>
  <c r="C12"/>
  <c r="B12"/>
  <c r="C11"/>
  <c r="B11"/>
  <c r="C10"/>
  <c r="B10"/>
  <c r="C8"/>
  <c r="B8"/>
  <c r="F92"/>
  <c r="E92"/>
  <c r="F90"/>
  <c r="E90"/>
  <c r="F89"/>
  <c r="E89"/>
  <c r="F88"/>
  <c r="E88"/>
  <c r="F87"/>
  <c r="E87"/>
  <c r="E86" s="1"/>
  <c r="F86"/>
  <c r="F83"/>
  <c r="E83"/>
  <c r="F82"/>
  <c r="F81" s="1"/>
  <c r="E82"/>
  <c r="E81" s="1"/>
  <c r="F79"/>
  <c r="E79"/>
  <c r="F78"/>
  <c r="E78"/>
  <c r="F77"/>
  <c r="F76" s="1"/>
  <c r="E77"/>
  <c r="E76"/>
  <c r="F75"/>
  <c r="E75"/>
  <c r="F74"/>
  <c r="E74"/>
  <c r="F73"/>
  <c r="E73"/>
  <c r="F72"/>
  <c r="E72"/>
  <c r="E71" s="1"/>
  <c r="F71"/>
  <c r="F69"/>
  <c r="E69"/>
  <c r="E68" s="1"/>
  <c r="F68"/>
  <c r="F67"/>
  <c r="E67"/>
  <c r="F66"/>
  <c r="E66"/>
  <c r="F65"/>
  <c r="E65"/>
  <c r="F64"/>
  <c r="E64"/>
  <c r="F63"/>
  <c r="E63"/>
  <c r="F62"/>
  <c r="F61" s="1"/>
  <c r="E62"/>
  <c r="E61"/>
  <c r="F60"/>
  <c r="F59" s="1"/>
  <c r="E60"/>
  <c r="E59"/>
  <c r="F58"/>
  <c r="E58"/>
  <c r="F56"/>
  <c r="E56"/>
  <c r="F55"/>
  <c r="F54" s="1"/>
  <c r="E55"/>
  <c r="E54"/>
  <c r="F53"/>
  <c r="E53"/>
  <c r="F52"/>
  <c r="E52"/>
  <c r="F51"/>
  <c r="E51"/>
  <c r="F50"/>
  <c r="E50"/>
  <c r="F49"/>
  <c r="F47" s="1"/>
  <c r="E49"/>
  <c r="E47"/>
  <c r="F46"/>
  <c r="E46"/>
  <c r="F45"/>
  <c r="E45"/>
  <c r="F44"/>
  <c r="F42" s="1"/>
  <c r="F43"/>
  <c r="E43"/>
  <c r="E42"/>
  <c r="F39"/>
  <c r="E39"/>
  <c r="E38"/>
  <c r="F36"/>
  <c r="E36"/>
  <c r="F35"/>
  <c r="E35"/>
  <c r="F34"/>
  <c r="E34"/>
  <c r="F33"/>
  <c r="E33"/>
  <c r="E31" s="1"/>
  <c r="F31"/>
  <c r="F29"/>
  <c r="E29"/>
  <c r="F28"/>
  <c r="F27"/>
  <c r="F26"/>
  <c r="F25"/>
  <c r="F23"/>
  <c r="E23"/>
  <c r="F22"/>
  <c r="E22"/>
  <c r="F21"/>
  <c r="E21"/>
  <c r="F20"/>
  <c r="E20"/>
  <c r="F19"/>
  <c r="E19"/>
  <c r="F18"/>
  <c r="E18"/>
  <c r="F17"/>
  <c r="E17"/>
  <c r="F15"/>
  <c r="E15"/>
  <c r="F13"/>
  <c r="E13"/>
  <c r="F12"/>
  <c r="E12"/>
  <c r="F11"/>
  <c r="E11"/>
  <c r="F10"/>
  <c r="E10"/>
  <c r="F8"/>
  <c r="E8"/>
  <c r="H87"/>
  <c r="D87" l="1"/>
  <c r="D47"/>
  <c r="I28"/>
  <c r="D50"/>
  <c r="I45"/>
  <c r="D45"/>
  <c r="D36"/>
  <c r="G90" l="1"/>
  <c r="G89"/>
  <c r="G88"/>
  <c r="G86"/>
  <c r="G83"/>
  <c r="G82"/>
  <c r="G81"/>
  <c r="G79"/>
  <c r="G78"/>
  <c r="G77"/>
  <c r="G76"/>
  <c r="G75"/>
  <c r="G74"/>
  <c r="G73"/>
  <c r="G72"/>
  <c r="G71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49"/>
  <c r="G47"/>
  <c r="G46"/>
  <c r="G43"/>
  <c r="G42"/>
  <c r="G39"/>
  <c r="G38"/>
  <c r="G36"/>
  <c r="G35"/>
  <c r="G34"/>
  <c r="G33"/>
  <c r="G31"/>
  <c r="G29"/>
  <c r="G25"/>
  <c r="G23"/>
  <c r="G22"/>
  <c r="G21"/>
  <c r="G20"/>
  <c r="G19"/>
  <c r="G18"/>
  <c r="G17"/>
  <c r="G15"/>
  <c r="G13"/>
  <c r="G12"/>
  <c r="G11"/>
  <c r="G10"/>
  <c r="G8"/>
  <c r="D69"/>
  <c r="H60" l="1"/>
  <c r="I92" l="1"/>
  <c r="J92" s="1"/>
  <c r="I90"/>
  <c r="J90" s="1"/>
  <c r="I89"/>
  <c r="J89" s="1"/>
  <c r="I88"/>
  <c r="J88" s="1"/>
  <c r="I87"/>
  <c r="J87" s="1"/>
  <c r="I86"/>
  <c r="J86" s="1"/>
  <c r="I85"/>
  <c r="I84"/>
  <c r="I83"/>
  <c r="J83" s="1"/>
  <c r="I81"/>
  <c r="J81" s="1"/>
  <c r="I80"/>
  <c r="I78"/>
  <c r="J78" s="1"/>
  <c r="I77"/>
  <c r="J77" s="1"/>
  <c r="I76"/>
  <c r="J76" s="1"/>
  <c r="I75"/>
  <c r="J75" s="1"/>
  <c r="I74"/>
  <c r="J74" s="1"/>
  <c r="I73"/>
  <c r="J73" s="1"/>
  <c r="I72"/>
  <c r="J72" s="1"/>
  <c r="I71"/>
  <c r="J71" s="1"/>
  <c r="I70"/>
  <c r="I69"/>
  <c r="J69" s="1"/>
  <c r="I68"/>
  <c r="J68" s="1"/>
  <c r="I67"/>
  <c r="J67" s="1"/>
  <c r="I66"/>
  <c r="J66" s="1"/>
  <c r="I64"/>
  <c r="J64" s="1"/>
  <c r="I63"/>
  <c r="J63" s="1"/>
  <c r="I62"/>
  <c r="J62" s="1"/>
  <c r="I61"/>
  <c r="J61" s="1"/>
  <c r="I60"/>
  <c r="J60" s="1"/>
  <c r="I59"/>
  <c r="J59" s="1"/>
  <c r="I58"/>
  <c r="J58" s="1"/>
  <c r="I57"/>
  <c r="I56"/>
  <c r="J56" s="1"/>
  <c r="I55"/>
  <c r="J55" s="1"/>
  <c r="I54"/>
  <c r="J54" s="1"/>
  <c r="I53"/>
  <c r="J53" s="1"/>
  <c r="I52"/>
  <c r="J52" s="1"/>
  <c r="I51"/>
  <c r="J51" s="1"/>
  <c r="I48"/>
  <c r="I47"/>
  <c r="J47" s="1"/>
  <c r="I46"/>
  <c r="J46" s="1"/>
  <c r="I44"/>
  <c r="J43"/>
  <c r="I42"/>
  <c r="I41"/>
  <c r="I40"/>
  <c r="I39"/>
  <c r="J39" s="1"/>
  <c r="I38"/>
  <c r="I37"/>
  <c r="I36"/>
  <c r="J36" s="1"/>
  <c r="I35"/>
  <c r="J35" s="1"/>
  <c r="I34"/>
  <c r="J34" s="1"/>
  <c r="I32"/>
  <c r="I31"/>
  <c r="J31" s="1"/>
  <c r="I29"/>
  <c r="J29" s="1"/>
  <c r="J28"/>
  <c r="I26"/>
  <c r="I25"/>
  <c r="J25" s="1"/>
  <c r="I24"/>
  <c r="I23"/>
  <c r="J23" s="1"/>
  <c r="I22"/>
  <c r="J22" s="1"/>
  <c r="I21"/>
  <c r="J21" s="1"/>
  <c r="I20"/>
  <c r="J20" s="1"/>
  <c r="I19"/>
  <c r="J19" s="1"/>
  <c r="I18"/>
  <c r="J18" s="1"/>
  <c r="I17"/>
  <c r="J17" s="1"/>
  <c r="I16"/>
  <c r="I15"/>
  <c r="J15" s="1"/>
  <c r="I14"/>
  <c r="I13"/>
  <c r="J13" s="1"/>
  <c r="I12"/>
  <c r="J12" s="1"/>
  <c r="I11"/>
  <c r="J11" s="1"/>
  <c r="I10"/>
  <c r="J10" s="1"/>
  <c r="I8"/>
  <c r="J8" s="1"/>
  <c r="D82"/>
  <c r="I82"/>
  <c r="I79"/>
  <c r="J79" s="1"/>
  <c r="I49"/>
  <c r="J49" s="1"/>
  <c r="D79" l="1"/>
  <c r="H25"/>
  <c r="D88"/>
  <c r="D86"/>
  <c r="D73"/>
  <c r="H86"/>
  <c r="H88"/>
  <c r="H38"/>
  <c r="D20" l="1"/>
  <c r="D89"/>
  <c r="D18"/>
  <c r="D22"/>
  <c r="D31"/>
  <c r="D35"/>
  <c r="D51"/>
  <c r="D53"/>
  <c r="D55"/>
  <c r="D59"/>
  <c r="D61"/>
  <c r="D63"/>
  <c r="D67"/>
  <c r="D71"/>
  <c r="D75"/>
  <c r="D77"/>
  <c r="D25"/>
  <c r="D11"/>
  <c r="H47"/>
  <c r="D19"/>
  <c r="D21"/>
  <c r="D23"/>
  <c r="D29"/>
  <c r="D90"/>
  <c r="H82"/>
  <c r="D17"/>
  <c r="D8"/>
  <c r="D13"/>
  <c r="D15"/>
  <c r="D39"/>
  <c r="D46"/>
  <c r="D10"/>
  <c r="D12"/>
  <c r="D34"/>
  <c r="D42"/>
  <c r="D49"/>
  <c r="D52"/>
  <c r="D54"/>
  <c r="D56"/>
  <c r="D58"/>
  <c r="D60"/>
  <c r="D62"/>
  <c r="D66"/>
  <c r="D68"/>
  <c r="D72"/>
  <c r="D74"/>
  <c r="D76"/>
  <c r="D78"/>
  <c r="D81"/>
  <c r="D83"/>
  <c r="D64"/>
  <c r="H51"/>
  <c r="H54"/>
  <c r="H58"/>
  <c r="H83"/>
  <c r="H69"/>
  <c r="H53"/>
  <c r="H43"/>
  <c r="H35"/>
  <c r="H18"/>
  <c r="H19"/>
  <c r="H21"/>
  <c r="H74"/>
  <c r="H23"/>
  <c r="H8"/>
  <c r="H22"/>
  <c r="H59"/>
  <c r="H13"/>
  <c r="H20"/>
  <c r="H90"/>
  <c r="H89"/>
  <c r="H81"/>
  <c r="H77"/>
  <c r="H76"/>
  <c r="H75"/>
  <c r="H73"/>
  <c r="H72"/>
  <c r="H71"/>
  <c r="H68"/>
  <c r="H67"/>
  <c r="H66"/>
  <c r="H65"/>
  <c r="H64"/>
  <c r="H63"/>
  <c r="H62"/>
  <c r="H61"/>
  <c r="H56"/>
  <c r="H55"/>
  <c r="H52"/>
  <c r="H49"/>
  <c r="H46"/>
  <c r="H42"/>
  <c r="H39"/>
  <c r="H36"/>
  <c r="H34"/>
  <c r="H33"/>
  <c r="H31"/>
  <c r="H29"/>
  <c r="H17"/>
  <c r="H15"/>
  <c r="H12"/>
  <c r="H11"/>
  <c r="H10"/>
  <c r="I33"/>
  <c r="J33" s="1"/>
</calcChain>
</file>

<file path=xl/sharedStrings.xml><?xml version="1.0" encoding="utf-8"?>
<sst xmlns="http://schemas.openxmlformats.org/spreadsheetml/2006/main" count="107" uniqueCount="101">
  <si>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</si>
  <si>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</si>
  <si>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</si>
  <si>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</si>
  <si>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</si>
  <si>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</si>
  <si>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</si>
  <si>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</si>
  <si>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</si>
  <si>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</si>
  <si>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</si>
  <si>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</si>
  <si>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</si>
  <si>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</si>
  <si>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</si>
  <si>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</si>
  <si>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</si>
  <si>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</si>
  <si>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</si>
  <si>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</si>
  <si>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</si>
  <si>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</si>
  <si>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</si>
  <si>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</si>
  <si>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</si>
  <si>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</si>
  <si>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</si>
  <si>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</si>
  <si>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</si>
  <si>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</si>
  <si>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</si>
  <si>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</si>
  <si>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</si>
  <si>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</si>
  <si>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</si>
  <si>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</si>
  <si>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</si>
  <si>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</si>
  <si>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</si>
  <si>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</si>
  <si>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</si>
  <si>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</si>
  <si>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</si>
  <si>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</si>
  <si>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</si>
  <si>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</si>
  <si>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</si>
  <si>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</si>
  <si>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</si>
  <si>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</si>
  <si>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</si>
  <si>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</si>
  <si>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</si>
  <si>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</si>
  <si>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</si>
  <si>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</si>
  <si>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</si>
  <si>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</si>
  <si>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</si>
  <si>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</si>
  <si>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</si>
  <si>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</si>
  <si>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</si>
  <si>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</si>
  <si>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</si>
  <si>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</si>
  <si>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</si>
  <si>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</si>
  <si>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</si>
  <si>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</si>
  <si>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</si>
  <si>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</si>
  <si>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</si>
  <si>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</si>
  <si>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</si>
  <si>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</si>
  <si>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</si>
  <si>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</si>
  <si>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</si>
  <si>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</si>
  <si>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</si>
  <si>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</si>
  <si>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</si>
  <si>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</si>
  <si>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</si>
  <si>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Отклонение</t>
  </si>
  <si>
    <t>Транспорт</t>
  </si>
  <si>
    <t>Телевидение и радиовещание</t>
  </si>
  <si>
    <t xml:space="preserve">  БЕЗВОЗМЕЗДНЫЕ ПОСТУПЛЕНИЯ ОТ НЕРЕЗИДЕНТОВ</t>
  </si>
  <si>
    <t xml:space="preserve">  Молодежная политика </t>
  </si>
  <si>
    <t>5</t>
  </si>
  <si>
    <t>9</t>
  </si>
  <si>
    <t>10</t>
  </si>
  <si>
    <t>Спорт высших достижений</t>
  </si>
  <si>
    <t>темп                роста (+)         снижения (-)</t>
  </si>
  <si>
    <t>на 01.01.2024</t>
  </si>
  <si>
    <t>% исполнения за 2023 год</t>
  </si>
  <si>
    <t>Гражданская оборона</t>
  </si>
  <si>
    <t>Сопоставимая информация об исполнении консолидированного бюджета МО "Всеволожский муниципальный район" Ленинградской области за 2024 год по отношению к 2023 году (тыс. руб.)</t>
  </si>
  <si>
    <t xml:space="preserve">на 01.01.2025 </t>
  </si>
  <si>
    <t>% исполнения за 2024 год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</si>
</sst>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0">
    <xf numFmtId="0" fontId="0" fillId="0" borderId="0" xfId="0"/>
    <xf numFmtId="0" fontId="20" fillId="4" borderId="0" xfId="0" applyFont="1" applyFill="1" applyProtection="1">
      <protection locked="0"/>
    </xf>
    <xf numFmtId="49" fontId="19" fillId="4" borderId="50" xfId="39" applyFont="1" applyFill="1" applyBorder="1" applyProtection="1">
      <alignment horizontal="center" vertical="center" wrapText="1"/>
    </xf>
    <xf numFmtId="49" fontId="19" fillId="4" borderId="49" xfId="39" applyFont="1" applyFill="1" applyBorder="1" applyProtection="1">
      <alignment horizontal="center" vertical="center" wrapText="1"/>
    </xf>
    <xf numFmtId="0" fontId="19" fillId="4" borderId="49" xfId="10" applyNumberFormat="1" applyFont="1" applyFill="1" applyBorder="1" applyProtection="1"/>
    <xf numFmtId="0" fontId="19" fillId="4" borderId="51" xfId="40" applyNumberFormat="1" applyFont="1" applyFill="1" applyBorder="1" applyProtection="1">
      <alignment horizontal="center" vertical="center" wrapText="1"/>
    </xf>
    <xf numFmtId="0" fontId="19" fillId="4" borderId="49" xfId="40" applyNumberFormat="1" applyFont="1" applyFill="1" applyBorder="1" applyProtection="1">
      <alignment horizontal="center" vertical="center" wrapText="1"/>
    </xf>
    <xf numFmtId="0" fontId="19" fillId="4" borderId="49" xfId="42" applyNumberFormat="1" applyFont="1" applyFill="1" applyBorder="1" applyProtection="1">
      <alignment horizontal="left" wrapText="1"/>
    </xf>
    <xf numFmtId="4" fontId="19" fillId="4" borderId="49" xfId="45" applyFont="1" applyFill="1" applyBorder="1" applyProtection="1">
      <alignment horizontal="right"/>
    </xf>
    <xf numFmtId="0" fontId="19" fillId="4" borderId="49" xfId="17" applyNumberFormat="1" applyFont="1" applyFill="1" applyBorder="1" applyProtection="1"/>
    <xf numFmtId="4" fontId="20" fillId="4" borderId="49" xfId="0" applyNumberFormat="1" applyFont="1" applyFill="1" applyBorder="1" applyProtection="1">
      <protection locked="0"/>
    </xf>
    <xf numFmtId="0" fontId="19" fillId="4" borderId="49" xfId="47" applyNumberFormat="1" applyFont="1" applyFill="1" applyBorder="1" applyProtection="1">
      <alignment horizontal="left" wrapText="1" indent="1"/>
    </xf>
    <xf numFmtId="49" fontId="19" fillId="4" borderId="49" xfId="49" applyFont="1" applyFill="1" applyBorder="1" applyProtection="1">
      <alignment horizontal="center"/>
    </xf>
    <xf numFmtId="0" fontId="19" fillId="4" borderId="49" xfId="51" applyNumberFormat="1" applyFont="1" applyFill="1" applyBorder="1" applyProtection="1">
      <alignment horizontal="left" wrapText="1" indent="2"/>
    </xf>
    <xf numFmtId="4" fontId="19" fillId="4" borderId="49" xfId="54" applyFont="1" applyFill="1" applyBorder="1" applyProtection="1">
      <alignment horizontal="right"/>
    </xf>
    <xf numFmtId="0" fontId="17" fillId="4" borderId="0" xfId="0" applyFont="1" applyFill="1" applyProtection="1">
      <protection locked="0"/>
    </xf>
    <xf numFmtId="0" fontId="18" fillId="4" borderId="49" xfId="74" applyNumberFormat="1" applyFont="1" applyFill="1" applyBorder="1" applyProtection="1">
      <alignment horizontal="left" wrapText="1"/>
    </xf>
    <xf numFmtId="4" fontId="19" fillId="4" borderId="49" xfId="77" applyFont="1" applyFill="1" applyBorder="1" applyProtection="1">
      <alignment horizontal="right"/>
    </xf>
    <xf numFmtId="0" fontId="19" fillId="4" borderId="49" xfId="83" applyNumberFormat="1" applyFont="1" applyFill="1" applyBorder="1" applyProtection="1">
      <alignment horizontal="left" wrapText="1"/>
    </xf>
    <xf numFmtId="0" fontId="20" fillId="4" borderId="49" xfId="0" applyFont="1" applyFill="1" applyBorder="1" applyProtection="1">
      <protection locked="0"/>
    </xf>
    <xf numFmtId="0" fontId="19" fillId="4" borderId="49" xfId="85" applyNumberFormat="1" applyFont="1" applyFill="1" applyBorder="1" applyProtection="1">
      <alignment horizontal="left" wrapText="1"/>
    </xf>
    <xf numFmtId="0" fontId="19" fillId="4" borderId="49" xfId="89" applyNumberFormat="1" applyFont="1" applyFill="1" applyBorder="1" applyProtection="1">
      <alignment horizontal="left" wrapText="1" indent="1"/>
    </xf>
    <xf numFmtId="49" fontId="19" fillId="4" borderId="56" xfId="39" applyFont="1" applyFill="1" applyBorder="1" applyProtection="1">
      <alignment horizontal="center" vertical="center" wrapText="1"/>
    </xf>
    <xf numFmtId="0" fontId="19" fillId="4" borderId="57" xfId="40" applyNumberFormat="1" applyFont="1" applyFill="1" applyBorder="1" applyProtection="1">
      <alignment horizontal="center" vertical="center" wrapText="1"/>
    </xf>
    <xf numFmtId="4" fontId="19" fillId="4" borderId="55" xfId="45" applyFont="1" applyFill="1" applyBorder="1" applyProtection="1">
      <alignment horizontal="right"/>
    </xf>
    <xf numFmtId="4" fontId="19" fillId="4" borderId="12" xfId="45" applyFont="1" applyFill="1" applyBorder="1" applyProtection="1">
      <alignment horizontal="right"/>
    </xf>
    <xf numFmtId="4" fontId="20" fillId="4" borderId="0" xfId="0" applyNumberFormat="1" applyFont="1" applyFill="1" applyProtection="1">
      <protection locked="0"/>
    </xf>
    <xf numFmtId="49" fontId="19" fillId="4" borderId="49" xfId="71" applyFont="1" applyFill="1" applyBorder="1" applyProtection="1">
      <alignment horizontal="center"/>
    </xf>
    <xf numFmtId="0" fontId="19" fillId="4" borderId="49" xfId="66" applyNumberFormat="1" applyFont="1" applyFill="1" applyBorder="1" applyProtection="1">
      <alignment horizontal="left" wrapText="1"/>
    </xf>
    <xf numFmtId="0" fontId="19" fillId="4" borderId="49" xfId="69" applyNumberFormat="1" applyFont="1" applyFill="1" applyBorder="1" applyProtection="1">
      <alignment horizontal="left" wrapText="1" indent="1"/>
    </xf>
    <xf numFmtId="4" fontId="17" fillId="4" borderId="0" xfId="0" applyNumberFormat="1" applyFont="1" applyFill="1" applyProtection="1">
      <protection locked="0"/>
    </xf>
    <xf numFmtId="0" fontId="19" fillId="4" borderId="52" xfId="6" applyNumberFormat="1" applyFont="1" applyFill="1" applyBorder="1" applyAlignment="1" applyProtection="1">
      <alignment horizontal="center"/>
    </xf>
    <xf numFmtId="0" fontId="20" fillId="4" borderId="52" xfId="0" applyFont="1" applyFill="1" applyBorder="1" applyAlignment="1" applyProtection="1">
      <alignment horizontal="center"/>
      <protection locked="0"/>
    </xf>
    <xf numFmtId="49" fontId="20" fillId="4" borderId="1" xfId="0" applyNumberFormat="1" applyFont="1" applyFill="1" applyBorder="1" applyAlignment="1" applyProtection="1">
      <alignment horizontal="center"/>
      <protection locked="0"/>
    </xf>
    <xf numFmtId="49" fontId="19" fillId="4" borderId="49" xfId="41" applyFont="1" applyFill="1" applyBorder="1" applyAlignment="1" applyProtection="1">
      <alignment horizontal="center" vertical="center" wrapText="1"/>
    </xf>
    <xf numFmtId="0" fontId="19" fillId="4" borderId="49" xfId="10" applyNumberFormat="1" applyFont="1" applyFill="1" applyBorder="1" applyAlignment="1" applyProtection="1">
      <alignment horizontal="center"/>
    </xf>
    <xf numFmtId="49" fontId="20" fillId="4" borderId="49" xfId="0" applyNumberFormat="1" applyFont="1" applyFill="1" applyBorder="1" applyAlignment="1" applyProtection="1">
      <alignment horizontal="center"/>
      <protection locked="0"/>
    </xf>
    <xf numFmtId="4" fontId="19" fillId="4" borderId="26" xfId="54" applyNumberFormat="1" applyFont="1" applyFill="1" applyProtection="1">
      <alignment horizontal="right"/>
    </xf>
    <xf numFmtId="4" fontId="19" fillId="4" borderId="49" xfId="17" applyNumberFormat="1" applyFont="1" applyFill="1" applyBorder="1" applyProtection="1"/>
    <xf numFmtId="2" fontId="19" fillId="4" borderId="49" xfId="54" applyNumberFormat="1" applyFont="1" applyFill="1" applyBorder="1" applyProtection="1">
      <alignment horizontal="right"/>
    </xf>
    <xf numFmtId="0" fontId="20" fillId="4" borderId="1" xfId="0" applyFont="1" applyFill="1" applyBorder="1" applyProtection="1">
      <protection locked="0"/>
    </xf>
    <xf numFmtId="0" fontId="20" fillId="4" borderId="58" xfId="0" applyFont="1" applyFill="1" applyBorder="1" applyAlignment="1" applyProtection="1">
      <alignment horizontal="center" vertical="center" wrapText="1"/>
      <protection locked="0"/>
    </xf>
    <xf numFmtId="0" fontId="20" fillId="4" borderId="59" xfId="0" applyFont="1" applyFill="1" applyBorder="1" applyAlignment="1" applyProtection="1">
      <alignment horizontal="center" vertical="center" wrapText="1"/>
      <protection locked="0"/>
    </xf>
    <xf numFmtId="0" fontId="20" fillId="4" borderId="60" xfId="0" applyFont="1" applyFill="1" applyBorder="1" applyAlignment="1" applyProtection="1">
      <alignment horizontal="center" vertical="center" wrapText="1"/>
      <protection locked="0"/>
    </xf>
    <xf numFmtId="49" fontId="19" fillId="4" borderId="49" xfId="39" applyFont="1" applyFill="1" applyBorder="1" applyAlignment="1" applyProtection="1">
      <alignment horizontal="center" vertical="center" wrapText="1"/>
    </xf>
    <xf numFmtId="0" fontId="19" fillId="4" borderId="1" xfId="20" applyNumberFormat="1" applyFont="1" applyFill="1" applyAlignment="1" applyProtection="1">
      <alignment horizontal="center"/>
    </xf>
    <xf numFmtId="0" fontId="19" fillId="4" borderId="53" xfId="6" applyNumberFormat="1" applyFont="1" applyFill="1" applyBorder="1" applyAlignment="1" applyProtection="1">
      <alignment horizontal="center"/>
    </xf>
    <xf numFmtId="0" fontId="19" fillId="4" borderId="54" xfId="6" applyNumberFormat="1" applyFont="1" applyFill="1" applyBorder="1" applyAlignment="1" applyProtection="1">
      <alignment horizontal="center"/>
    </xf>
    <xf numFmtId="49" fontId="19" fillId="4" borderId="49" xfId="25" applyFont="1" applyFill="1" applyBorder="1" applyAlignment="1" applyProtection="1">
      <alignment horizontal="center"/>
    </xf>
    <xf numFmtId="0" fontId="20" fillId="4" borderId="49" xfId="0" applyFont="1" applyFill="1" applyBorder="1" applyAlignment="1" applyProtection="1">
      <alignment horizontal="center" vertical="center"/>
      <protection locked="0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zoomScale="85" zoomScaleNormal="85" workbookViewId="0">
      <selection activeCell="I95" sqref="I95"/>
    </sheetView>
  </sheetViews>
  <sheetFormatPr defaultColWidth="9.140625" defaultRowHeight="18.75"/>
  <cols>
    <col min="1" max="1" width="74.85546875" style="1" customWidth="1"/>
    <col min="2" max="2" width="27.42578125" style="1" customWidth="1"/>
    <col min="3" max="3" width="28.7109375" style="1" customWidth="1"/>
    <col min="4" max="4" width="14.140625" style="1" customWidth="1"/>
    <col min="5" max="5" width="24.42578125" style="1" customWidth="1"/>
    <col min="6" max="6" width="26.140625" style="1" customWidth="1"/>
    <col min="7" max="7" width="9.140625" style="1" hidden="1" customWidth="1"/>
    <col min="8" max="8" width="17.140625" style="1" customWidth="1"/>
    <col min="9" max="9" width="19.5703125" style="1" customWidth="1"/>
    <col min="10" max="10" width="16.28515625" style="1" customWidth="1"/>
    <col min="11" max="11" width="22.85546875" style="1" bestFit="1" customWidth="1"/>
    <col min="12" max="12" width="22.140625" style="1" bestFit="1" customWidth="1"/>
    <col min="13" max="16384" width="9.140625" style="1"/>
  </cols>
  <sheetData>
    <row r="1" spans="1:11">
      <c r="A1" s="45" t="s">
        <v>98</v>
      </c>
      <c r="B1" s="45"/>
      <c r="C1" s="45"/>
      <c r="D1" s="45"/>
      <c r="E1" s="45"/>
      <c r="F1" s="45"/>
      <c r="G1" s="45"/>
      <c r="H1" s="45"/>
      <c r="I1" s="45"/>
      <c r="J1" s="45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1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1" ht="18.75" customHeight="1">
      <c r="A4" s="44" t="s">
        <v>0</v>
      </c>
      <c r="B4" s="46" t="s">
        <v>99</v>
      </c>
      <c r="C4" s="47"/>
      <c r="D4" s="47"/>
      <c r="E4" s="48" t="s">
        <v>95</v>
      </c>
      <c r="F4" s="48"/>
      <c r="G4" s="48"/>
      <c r="H4" s="48"/>
      <c r="I4" s="49" t="s">
        <v>85</v>
      </c>
      <c r="J4" s="41" t="s">
        <v>94</v>
      </c>
    </row>
    <row r="5" spans="1:11" ht="56.25">
      <c r="A5" s="44"/>
      <c r="B5" s="2" t="s">
        <v>1</v>
      </c>
      <c r="C5" s="22" t="s">
        <v>2</v>
      </c>
      <c r="D5" s="44" t="s">
        <v>100</v>
      </c>
      <c r="E5" s="3" t="s">
        <v>1</v>
      </c>
      <c r="F5" s="3" t="s">
        <v>2</v>
      </c>
      <c r="G5" s="4"/>
      <c r="H5" s="44" t="s">
        <v>96</v>
      </c>
      <c r="I5" s="49"/>
      <c r="J5" s="42"/>
    </row>
    <row r="6" spans="1:11" ht="199.15" customHeight="1">
      <c r="A6" s="44"/>
      <c r="B6" s="5" t="s">
        <v>3</v>
      </c>
      <c r="C6" s="23" t="s">
        <v>3</v>
      </c>
      <c r="D6" s="44"/>
      <c r="E6" s="6" t="s">
        <v>3</v>
      </c>
      <c r="F6" s="6" t="s">
        <v>3</v>
      </c>
      <c r="G6" s="4"/>
      <c r="H6" s="44"/>
      <c r="I6" s="49"/>
      <c r="J6" s="43"/>
    </row>
    <row r="7" spans="1:11" ht="19.5" thickBot="1">
      <c r="A7" s="3" t="s">
        <v>4</v>
      </c>
      <c r="B7" s="31">
        <v>3</v>
      </c>
      <c r="C7" s="32">
        <v>4</v>
      </c>
      <c r="D7" s="33" t="s">
        <v>90</v>
      </c>
      <c r="E7" s="34" t="s">
        <v>5</v>
      </c>
      <c r="F7" s="34" t="s">
        <v>6</v>
      </c>
      <c r="G7" s="35"/>
      <c r="H7" s="35">
        <v>8</v>
      </c>
      <c r="I7" s="36" t="s">
        <v>91</v>
      </c>
      <c r="J7" s="36" t="s">
        <v>92</v>
      </c>
    </row>
    <row r="8" spans="1:11">
      <c r="A8" s="7" t="s">
        <v>7</v>
      </c>
      <c r="B8" s="8">
        <f>32286533684.94/1000</f>
        <v>32286533.684939999</v>
      </c>
      <c r="C8" s="8">
        <f>32355955642.97/1000</f>
        <v>32355955.642969999</v>
      </c>
      <c r="D8" s="24">
        <f>C8/B8*100</f>
        <v>100.21501830672639</v>
      </c>
      <c r="E8" s="8">
        <f>22098960142.9/1000</f>
        <v>22098960.142900001</v>
      </c>
      <c r="F8" s="8">
        <f>22261571396.49/1000</f>
        <v>22261571.39649</v>
      </c>
      <c r="G8" s="24">
        <f>F8/E8*100</f>
        <v>100.73583215019393</v>
      </c>
      <c r="H8" s="38">
        <f>F8/E8*100</f>
        <v>100.73583215019393</v>
      </c>
      <c r="I8" s="10">
        <f>C8-F8</f>
        <v>10094384.246479999</v>
      </c>
      <c r="J8" s="10">
        <f>I8/F8</f>
        <v>0.45344437132014809</v>
      </c>
      <c r="K8" s="26"/>
    </row>
    <row r="9" spans="1:11">
      <c r="A9" s="11" t="s">
        <v>8</v>
      </c>
      <c r="B9" s="12"/>
      <c r="C9" s="12"/>
      <c r="D9" s="24"/>
      <c r="E9" s="12"/>
      <c r="F9" s="12"/>
      <c r="G9" s="24"/>
      <c r="H9" s="38"/>
      <c r="I9" s="10"/>
      <c r="J9" s="10"/>
      <c r="K9" s="26"/>
    </row>
    <row r="10" spans="1:11">
      <c r="A10" s="13" t="s">
        <v>9</v>
      </c>
      <c r="B10" s="14">
        <f>750482216.46/1000</f>
        <v>750482.21646000003</v>
      </c>
      <c r="C10" s="14">
        <f>689369944.77/1000</f>
        <v>689369.94476999994</v>
      </c>
      <c r="D10" s="24">
        <f t="shared" ref="D10:D73" si="0">C10/B10*100</f>
        <v>91.856932736092716</v>
      </c>
      <c r="E10" s="14">
        <f>595865267/1000</f>
        <v>595865.26699999999</v>
      </c>
      <c r="F10" s="14">
        <f>541868486.64/1000</f>
        <v>541868.48664000002</v>
      </c>
      <c r="G10" s="24">
        <f t="shared" ref="G10:G13" si="1">F10/E10*100</f>
        <v>90.938088969028627</v>
      </c>
      <c r="H10" s="38">
        <f t="shared" ref="H10:H74" si="2">F10/E10*100</f>
        <v>90.938088969028627</v>
      </c>
      <c r="I10" s="10">
        <f t="shared" ref="I10:I74" si="3">C10-F10</f>
        <v>147501.45812999993</v>
      </c>
      <c r="J10" s="10">
        <f t="shared" ref="J10:J74" si="4">I10/F10</f>
        <v>0.27220896170696701</v>
      </c>
      <c r="K10" s="26"/>
    </row>
    <row r="11" spans="1:11">
      <c r="A11" s="13" t="s">
        <v>84</v>
      </c>
      <c r="B11" s="14">
        <f>3990494600/1000</f>
        <v>3990494.6</v>
      </c>
      <c r="C11" s="14">
        <f>4535353630.76/1000</f>
        <v>4535353.6307600001</v>
      </c>
      <c r="D11" s="24">
        <f t="shared" si="0"/>
        <v>113.65392226717961</v>
      </c>
      <c r="E11" s="14">
        <f>3621320042.9/1000</f>
        <v>3621320.0429000002</v>
      </c>
      <c r="F11" s="14">
        <f>3736137487.06/1000</f>
        <v>3736137.4870599997</v>
      </c>
      <c r="G11" s="24">
        <f t="shared" si="1"/>
        <v>103.17059643444418</v>
      </c>
      <c r="H11" s="38">
        <f t="shared" si="2"/>
        <v>103.17059643444418</v>
      </c>
      <c r="I11" s="10">
        <f t="shared" si="3"/>
        <v>799216.14370000036</v>
      </c>
      <c r="J11" s="10">
        <f t="shared" si="4"/>
        <v>0.2139150784648749</v>
      </c>
      <c r="K11" s="26"/>
    </row>
    <row r="12" spans="1:11">
      <c r="A12" s="13" t="s">
        <v>83</v>
      </c>
      <c r="B12" s="14">
        <f>2150000/1000</f>
        <v>2150</v>
      </c>
      <c r="C12" s="14">
        <f>2348495.14/1000</f>
        <v>2348.49514</v>
      </c>
      <c r="D12" s="24">
        <f t="shared" si="0"/>
        <v>109.23233209302326</v>
      </c>
      <c r="E12" s="14">
        <f>2400000/1000</f>
        <v>2400</v>
      </c>
      <c r="F12" s="14">
        <f>2470733.25/1000</f>
        <v>2470.7332500000002</v>
      </c>
      <c r="G12" s="24">
        <f t="shared" si="1"/>
        <v>102.94721875000002</v>
      </c>
      <c r="H12" s="38">
        <f t="shared" si="2"/>
        <v>102.94721875000002</v>
      </c>
      <c r="I12" s="10">
        <f t="shared" si="3"/>
        <v>-122.23811000000023</v>
      </c>
      <c r="J12" s="10">
        <f t="shared" si="4"/>
        <v>-4.9474426265967895E-2</v>
      </c>
    </row>
    <row r="13" spans="1:11">
      <c r="A13" s="13" t="s">
        <v>10</v>
      </c>
      <c r="B13" s="14">
        <f>6257510000/1000</f>
        <v>6257510</v>
      </c>
      <c r="C13" s="14">
        <f>6323291026.66/1000</f>
        <v>6323291.02666</v>
      </c>
      <c r="D13" s="24">
        <f t="shared" si="0"/>
        <v>101.05123326466918</v>
      </c>
      <c r="E13" s="14">
        <f>4209700000/1000</f>
        <v>4209700</v>
      </c>
      <c r="F13" s="14">
        <f>4265246042.71/1000</f>
        <v>4265246.0427099997</v>
      </c>
      <c r="G13" s="24">
        <f t="shared" si="1"/>
        <v>101.31947746181437</v>
      </c>
      <c r="H13" s="38">
        <f t="shared" si="2"/>
        <v>101.31947746181437</v>
      </c>
      <c r="I13" s="10">
        <f t="shared" si="3"/>
        <v>2058044.9839500003</v>
      </c>
      <c r="J13" s="10">
        <f t="shared" si="4"/>
        <v>0.48251495068321659</v>
      </c>
    </row>
    <row r="14" spans="1:11">
      <c r="A14" s="13" t="s">
        <v>11</v>
      </c>
      <c r="B14" s="14">
        <v>0</v>
      </c>
      <c r="C14" s="14">
        <v>0</v>
      </c>
      <c r="D14" s="24">
        <v>0</v>
      </c>
      <c r="E14" s="14">
        <v>0</v>
      </c>
      <c r="F14" s="14">
        <v>0</v>
      </c>
      <c r="G14" s="24">
        <v>0</v>
      </c>
      <c r="H14" s="38">
        <v>0</v>
      </c>
      <c r="I14" s="10">
        <f t="shared" si="3"/>
        <v>0</v>
      </c>
      <c r="J14" s="10">
        <v>0</v>
      </c>
    </row>
    <row r="15" spans="1:11">
      <c r="A15" s="13" t="s">
        <v>12</v>
      </c>
      <c r="B15" s="14">
        <f>119080000/1000</f>
        <v>119080</v>
      </c>
      <c r="C15" s="14">
        <f>139790221.33/1000</f>
        <v>139790.22133</v>
      </c>
      <c r="D15" s="24">
        <f t="shared" si="0"/>
        <v>117.39185533254954</v>
      </c>
      <c r="E15" s="14">
        <f>(1000000+84442000)/1000</f>
        <v>85442</v>
      </c>
      <c r="F15" s="14">
        <f>(725000+79420462.68)/1000</f>
        <v>80145.462680000011</v>
      </c>
      <c r="G15" s="24">
        <f t="shared" ref="G15" si="5">F15/E15*100</f>
        <v>93.801014348915075</v>
      </c>
      <c r="H15" s="38">
        <f t="shared" si="2"/>
        <v>93.801014348915075</v>
      </c>
      <c r="I15" s="10">
        <f t="shared" si="3"/>
        <v>59644.758649999989</v>
      </c>
      <c r="J15" s="10">
        <f t="shared" si="4"/>
        <v>0.74420630507987706</v>
      </c>
    </row>
    <row r="16" spans="1:11" ht="56.25">
      <c r="A16" s="13" t="s">
        <v>13</v>
      </c>
      <c r="B16" s="14">
        <v>0</v>
      </c>
      <c r="C16" s="14">
        <v>0</v>
      </c>
      <c r="D16" s="24">
        <v>0</v>
      </c>
      <c r="E16" s="14">
        <v>0</v>
      </c>
      <c r="F16" s="14">
        <v>0</v>
      </c>
      <c r="G16" s="9"/>
      <c r="H16" s="38">
        <v>0</v>
      </c>
      <c r="I16" s="10">
        <f t="shared" si="3"/>
        <v>0</v>
      </c>
      <c r="J16" s="10">
        <v>0</v>
      </c>
    </row>
    <row r="17" spans="1:11" ht="56.25">
      <c r="A17" s="13" t="s">
        <v>14</v>
      </c>
      <c r="B17" s="14">
        <f>282501500/1000</f>
        <v>282501.5</v>
      </c>
      <c r="C17" s="14">
        <f>298820007.34/1000</f>
        <v>298820.00733999995</v>
      </c>
      <c r="D17" s="24">
        <f t="shared" si="0"/>
        <v>105.77643210390031</v>
      </c>
      <c r="E17" s="14">
        <f>187207900/1000</f>
        <v>187207.9</v>
      </c>
      <c r="F17" s="14">
        <f>206821566.8/1000</f>
        <v>206821.5668</v>
      </c>
      <c r="G17" s="24">
        <f t="shared" ref="G17:G23" si="6">F17/E17*100</f>
        <v>110.47694397512072</v>
      </c>
      <c r="H17" s="38">
        <f t="shared" si="2"/>
        <v>110.47694397512072</v>
      </c>
      <c r="I17" s="10">
        <f t="shared" si="3"/>
        <v>91998.440539999952</v>
      </c>
      <c r="J17" s="10">
        <f t="shared" si="4"/>
        <v>0.44482034423887729</v>
      </c>
    </row>
    <row r="18" spans="1:11" ht="37.5">
      <c r="A18" s="13" t="s">
        <v>15</v>
      </c>
      <c r="B18" s="14">
        <f>27370000/1000</f>
        <v>27370</v>
      </c>
      <c r="C18" s="14">
        <f>27108835.86/1000</f>
        <v>27108.835859999999</v>
      </c>
      <c r="D18" s="24">
        <f t="shared" si="0"/>
        <v>99.045801461454147</v>
      </c>
      <c r="E18" s="14">
        <f>35300000/1000</f>
        <v>35300</v>
      </c>
      <c r="F18" s="14">
        <f>35588105.73/1000</f>
        <v>35588.105729999996</v>
      </c>
      <c r="G18" s="24">
        <f t="shared" si="6"/>
        <v>100.81616354107648</v>
      </c>
      <c r="H18" s="38">
        <f t="shared" si="2"/>
        <v>100.81616354107648</v>
      </c>
      <c r="I18" s="10">
        <f t="shared" si="3"/>
        <v>-8479.2698699999964</v>
      </c>
      <c r="J18" s="10">
        <f t="shared" si="4"/>
        <v>-0.23826134311082922</v>
      </c>
    </row>
    <row r="19" spans="1:11" ht="37.5">
      <c r="A19" s="13" t="s">
        <v>16</v>
      </c>
      <c r="B19" s="14">
        <f>18350600/1000</f>
        <v>18350.599999999999</v>
      </c>
      <c r="C19" s="14">
        <f>20200823.96/1000</f>
        <v>20200.823960000002</v>
      </c>
      <c r="D19" s="24">
        <f t="shared" si="0"/>
        <v>110.08263468224473</v>
      </c>
      <c r="E19" s="14">
        <f>16727657.1/1000</f>
        <v>16727.6571</v>
      </c>
      <c r="F19" s="14">
        <f>15919973.67/1000</f>
        <v>15919.973669999999</v>
      </c>
      <c r="G19" s="24">
        <f t="shared" si="6"/>
        <v>95.171568707012767</v>
      </c>
      <c r="H19" s="38">
        <f t="shared" si="2"/>
        <v>95.171568707012767</v>
      </c>
      <c r="I19" s="10">
        <f t="shared" si="3"/>
        <v>4280.8502900000021</v>
      </c>
      <c r="J19" s="10">
        <f t="shared" si="4"/>
        <v>0.26889807601044874</v>
      </c>
    </row>
    <row r="20" spans="1:11" ht="37.5">
      <c r="A20" s="13" t="s">
        <v>17</v>
      </c>
      <c r="B20" s="14">
        <f>415130000/1000</f>
        <v>415130</v>
      </c>
      <c r="C20" s="14">
        <f>396309586.51/1000</f>
        <v>396309.58650999999</v>
      </c>
      <c r="D20" s="24">
        <f t="shared" si="0"/>
        <v>95.466380774697086</v>
      </c>
      <c r="E20" s="14">
        <f>369869000/1000</f>
        <v>369869</v>
      </c>
      <c r="F20" s="14">
        <f>400637319.91/1000</f>
        <v>400637.31991000002</v>
      </c>
      <c r="G20" s="24">
        <f t="shared" si="6"/>
        <v>108.31870740992082</v>
      </c>
      <c r="H20" s="38">
        <f t="shared" si="2"/>
        <v>108.31870740992082</v>
      </c>
      <c r="I20" s="10">
        <f t="shared" si="3"/>
        <v>-4327.7334000000264</v>
      </c>
      <c r="J20" s="10">
        <f t="shared" si="4"/>
        <v>-1.0802122480682073E-2</v>
      </c>
    </row>
    <row r="21" spans="1:11">
      <c r="A21" s="13" t="s">
        <v>18</v>
      </c>
      <c r="B21" s="14">
        <f>6900000/1000</f>
        <v>6900</v>
      </c>
      <c r="C21" s="14">
        <f>19937685.09/1000</f>
        <v>19937.685089999999</v>
      </c>
      <c r="D21" s="24">
        <f t="shared" si="0"/>
        <v>288.95195782608693</v>
      </c>
      <c r="E21" s="14">
        <f>11680000/1000</f>
        <v>11680</v>
      </c>
      <c r="F21" s="14">
        <f>11727175.18/1000</f>
        <v>11727.17518</v>
      </c>
      <c r="G21" s="24">
        <f t="shared" si="6"/>
        <v>100.4038970890411</v>
      </c>
      <c r="H21" s="38">
        <f t="shared" si="2"/>
        <v>100.4038970890411</v>
      </c>
      <c r="I21" s="10">
        <f t="shared" si="3"/>
        <v>8210.5099099999989</v>
      </c>
      <c r="J21" s="10">
        <f t="shared" si="4"/>
        <v>0.7001268237215843</v>
      </c>
    </row>
    <row r="22" spans="1:11">
      <c r="A22" s="13" t="s">
        <v>19</v>
      </c>
      <c r="B22" s="14">
        <f>30810000/1000</f>
        <v>30810</v>
      </c>
      <c r="C22" s="14">
        <f>30810000/1000</f>
        <v>30810</v>
      </c>
      <c r="D22" s="24">
        <f t="shared" si="0"/>
        <v>100</v>
      </c>
      <c r="E22" s="14">
        <f>16610000/1000</f>
        <v>16610</v>
      </c>
      <c r="F22" s="14">
        <f>16687197.42/1000</f>
        <v>16687.19742</v>
      </c>
      <c r="G22" s="24">
        <f t="shared" si="6"/>
        <v>100.46476472004817</v>
      </c>
      <c r="H22" s="38">
        <f t="shared" si="2"/>
        <v>100.46476472004817</v>
      </c>
      <c r="I22" s="10">
        <f t="shared" si="3"/>
        <v>14122.80258</v>
      </c>
      <c r="J22" s="10">
        <f t="shared" si="4"/>
        <v>0.84632561265641204</v>
      </c>
    </row>
    <row r="23" spans="1:11">
      <c r="A23" s="13" t="s">
        <v>20</v>
      </c>
      <c r="B23" s="14">
        <f>21136236984.94/1000</f>
        <v>21136236.98494</v>
      </c>
      <c r="C23" s="14">
        <f>20494680549.24/1000</f>
        <v>20494680.549240001</v>
      </c>
      <c r="D23" s="24">
        <f t="shared" si="0"/>
        <v>96.964661040860207</v>
      </c>
      <c r="E23" s="14">
        <f>11444170773.25/1000</f>
        <v>11444170.773250001</v>
      </c>
      <c r="F23" s="14">
        <f>11287139457.63/1000</f>
        <v>11287139.457629999</v>
      </c>
      <c r="G23" s="24">
        <f t="shared" si="6"/>
        <v>98.627848895902076</v>
      </c>
      <c r="H23" s="38">
        <f t="shared" si="2"/>
        <v>98.627848895902076</v>
      </c>
      <c r="I23" s="10">
        <f t="shared" si="3"/>
        <v>9207541.0916100014</v>
      </c>
      <c r="J23" s="10">
        <f t="shared" si="4"/>
        <v>0.81575505699859063</v>
      </c>
    </row>
    <row r="24" spans="1:11" ht="37.5">
      <c r="A24" s="13" t="s">
        <v>88</v>
      </c>
      <c r="B24" s="37">
        <v>0</v>
      </c>
      <c r="C24" s="37">
        <v>0</v>
      </c>
      <c r="D24" s="9">
        <v>0</v>
      </c>
      <c r="E24" s="37">
        <v>0</v>
      </c>
      <c r="F24" s="37">
        <v>0</v>
      </c>
      <c r="G24" s="9"/>
      <c r="H24" s="38">
        <v>0</v>
      </c>
      <c r="I24" s="10">
        <f t="shared" si="3"/>
        <v>0</v>
      </c>
      <c r="J24" s="10">
        <v>0</v>
      </c>
    </row>
    <row r="25" spans="1:11" ht="56.25">
      <c r="A25" s="13" t="s">
        <v>21</v>
      </c>
      <c r="B25" s="14">
        <f>21136236984.94/1000</f>
        <v>21136236.98494</v>
      </c>
      <c r="C25" s="14">
        <f>20569180685.33/1000</f>
        <v>20569180.685330003</v>
      </c>
      <c r="D25" s="24">
        <f t="shared" si="0"/>
        <v>97.317136915080795</v>
      </c>
      <c r="E25" s="14">
        <f>13542703542.9/1000</f>
        <v>13542703.5429</v>
      </c>
      <c r="F25" s="14">
        <f>13511765986.75/1000</f>
        <v>13511765.986749999</v>
      </c>
      <c r="G25" s="24">
        <f t="shared" ref="G25" si="7">F25/E25*100</f>
        <v>99.771555538729785</v>
      </c>
      <c r="H25" s="38">
        <f t="shared" si="2"/>
        <v>99.771555538729785</v>
      </c>
      <c r="I25" s="10">
        <f t="shared" si="3"/>
        <v>7057414.6985800043</v>
      </c>
      <c r="J25" s="10">
        <f t="shared" si="4"/>
        <v>0.52231623205291555</v>
      </c>
    </row>
    <row r="26" spans="1:11">
      <c r="A26" s="13" t="s">
        <v>22</v>
      </c>
      <c r="B26" s="14">
        <f>0/1000</f>
        <v>0</v>
      </c>
      <c r="C26" s="14">
        <f>7089900/1000</f>
        <v>7089.9</v>
      </c>
      <c r="D26" s="24">
        <v>0</v>
      </c>
      <c r="E26" s="14">
        <v>0</v>
      </c>
      <c r="F26" s="14">
        <f>475020/1000</f>
        <v>475.02</v>
      </c>
      <c r="G26" s="24">
        <v>0</v>
      </c>
      <c r="H26" s="38">
        <v>0</v>
      </c>
      <c r="I26" s="10">
        <f t="shared" si="3"/>
        <v>6614.8799999999992</v>
      </c>
      <c r="J26" s="10">
        <f>I26/F26</f>
        <v>13.925476822028545</v>
      </c>
      <c r="K26" s="26"/>
    </row>
    <row r="27" spans="1:11" ht="131.25">
      <c r="A27" s="13" t="s">
        <v>23</v>
      </c>
      <c r="B27" s="14">
        <f>0/1000</f>
        <v>0</v>
      </c>
      <c r="C27" s="14">
        <f>1749873.2/1000</f>
        <v>1749.8732</v>
      </c>
      <c r="D27" s="24">
        <v>0</v>
      </c>
      <c r="E27" s="14">
        <v>0</v>
      </c>
      <c r="F27" s="14">
        <f>35142823.72/1000</f>
        <v>35142.82372</v>
      </c>
      <c r="G27" s="24">
        <v>0</v>
      </c>
      <c r="H27" s="38">
        <v>0</v>
      </c>
      <c r="I27" s="10">
        <f>C27-F27</f>
        <v>-33392.950519999999</v>
      </c>
      <c r="J27" s="10">
        <v>0</v>
      </c>
      <c r="K27" s="26"/>
    </row>
    <row r="28" spans="1:11" ht="56.25">
      <c r="A28" s="13" t="s">
        <v>24</v>
      </c>
      <c r="B28" s="14">
        <f>0/1000</f>
        <v>0</v>
      </c>
      <c r="C28" s="14">
        <f>84469972.69/1000</f>
        <v>84469.972689999995</v>
      </c>
      <c r="D28" s="24">
        <v>0</v>
      </c>
      <c r="E28" s="14">
        <v>0</v>
      </c>
      <c r="F28" s="14">
        <f>-39622116.53/1000</f>
        <v>-39622.116529999999</v>
      </c>
      <c r="G28" s="24">
        <v>0</v>
      </c>
      <c r="H28" s="38">
        <v>0</v>
      </c>
      <c r="I28" s="10">
        <f>C28-F28</f>
        <v>124092.08921999999</v>
      </c>
      <c r="J28" s="10">
        <f t="shared" si="4"/>
        <v>-3.1318894619383424</v>
      </c>
    </row>
    <row r="29" spans="1:11" s="15" customFormat="1">
      <c r="A29" s="28" t="s">
        <v>25</v>
      </c>
      <c r="B29" s="14">
        <f>32886311712.87/1000</f>
        <v>32886311.712869998</v>
      </c>
      <c r="C29" s="14">
        <f>31305665394.85/1000</f>
        <v>31305665.394849997</v>
      </c>
      <c r="D29" s="24">
        <f t="shared" si="0"/>
        <v>95.193604160233576</v>
      </c>
      <c r="E29" s="14">
        <f>22668306678.72/1000</f>
        <v>22668306.678720001</v>
      </c>
      <c r="F29" s="14">
        <f>21987815450.4/1000</f>
        <v>21987815.450400002</v>
      </c>
      <c r="G29" s="24">
        <f t="shared" ref="G29" si="8">F29/E29*100</f>
        <v>96.998050017742116</v>
      </c>
      <c r="H29" s="38">
        <f t="shared" si="2"/>
        <v>96.998050017742116</v>
      </c>
      <c r="I29" s="10">
        <f t="shared" si="3"/>
        <v>9317849.9444499947</v>
      </c>
      <c r="J29" s="10">
        <f t="shared" si="4"/>
        <v>0.4237733378047106</v>
      </c>
    </row>
    <row r="30" spans="1:11" s="15" customFormat="1">
      <c r="A30" s="29" t="s">
        <v>8</v>
      </c>
      <c r="B30" s="27"/>
      <c r="C30" s="27"/>
      <c r="D30" s="24"/>
      <c r="E30" s="27"/>
      <c r="F30" s="27"/>
      <c r="G30" s="24"/>
      <c r="H30" s="38"/>
      <c r="I30" s="10"/>
      <c r="J30" s="10"/>
    </row>
    <row r="31" spans="1:11" s="15" customFormat="1">
      <c r="A31" s="13" t="s">
        <v>26</v>
      </c>
      <c r="B31" s="14">
        <f>1503449406.05/1000</f>
        <v>1503449.4060499999</v>
      </c>
      <c r="C31" s="14">
        <f>1147968535.77/1000</f>
        <v>1147968.53577</v>
      </c>
      <c r="D31" s="24">
        <f t="shared" si="0"/>
        <v>76.35564796197886</v>
      </c>
      <c r="E31" s="14">
        <f>SUM(E32:E39)</f>
        <v>1279134.3143500001</v>
      </c>
      <c r="F31" s="14">
        <f>SUM(F32:F39)</f>
        <v>1138976.8348599998</v>
      </c>
      <c r="G31" s="24">
        <f t="shared" ref="G31" si="9">F31/E31*100</f>
        <v>89.042786365932017</v>
      </c>
      <c r="H31" s="38">
        <f t="shared" si="2"/>
        <v>89.042786365932017</v>
      </c>
      <c r="I31" s="10">
        <f t="shared" si="3"/>
        <v>8991.7009100001305</v>
      </c>
      <c r="J31" s="10">
        <f t="shared" si="4"/>
        <v>7.8945423952413996E-3</v>
      </c>
      <c r="K31" s="30"/>
    </row>
    <row r="32" spans="1:11" s="15" customFormat="1" ht="56.25">
      <c r="A32" s="13" t="s">
        <v>27</v>
      </c>
      <c r="B32" s="37">
        <v>0</v>
      </c>
      <c r="C32" s="37">
        <v>0</v>
      </c>
      <c r="D32" s="24">
        <v>0</v>
      </c>
      <c r="E32" s="37">
        <v>0</v>
      </c>
      <c r="F32" s="37">
        <v>0</v>
      </c>
      <c r="G32" s="19"/>
      <c r="H32" s="38">
        <v>0</v>
      </c>
      <c r="I32" s="10">
        <f t="shared" si="3"/>
        <v>0</v>
      </c>
      <c r="J32" s="10">
        <v>0</v>
      </c>
      <c r="K32" s="30"/>
    </row>
    <row r="33" spans="1:11" s="15" customFormat="1" ht="56.25">
      <c r="A33" s="13" t="s">
        <v>28</v>
      </c>
      <c r="B33" s="39">
        <f>29688898/1000</f>
        <v>29688.898000000001</v>
      </c>
      <c r="C33" s="14">
        <f>28056992.71/1000</f>
        <v>28056.992710000002</v>
      </c>
      <c r="D33" s="24">
        <f t="shared" si="0"/>
        <v>94.503314707066593</v>
      </c>
      <c r="E33" s="39">
        <f>20986043.98/1000</f>
        <v>20986.043980000002</v>
      </c>
      <c r="F33" s="14">
        <f>18950492.84/1000</f>
        <v>18950.492839999999</v>
      </c>
      <c r="G33" s="24">
        <f t="shared" ref="G33:G36" si="10">F33/E33*100</f>
        <v>90.300453282477093</v>
      </c>
      <c r="H33" s="38">
        <f t="shared" si="2"/>
        <v>90.300453282477093</v>
      </c>
      <c r="I33" s="10">
        <f t="shared" si="3"/>
        <v>9106.4998700000033</v>
      </c>
      <c r="J33" s="10">
        <f>I33/F33</f>
        <v>0.48054158521821344</v>
      </c>
      <c r="K33" s="30"/>
    </row>
    <row r="34" spans="1:11" s="15" customFormat="1" ht="75">
      <c r="A34" s="13" t="s">
        <v>29</v>
      </c>
      <c r="B34" s="14">
        <f>46904322.36/1000</f>
        <v>46904.322359999998</v>
      </c>
      <c r="C34" s="14">
        <f>428620845.26/1000</f>
        <v>428620.84525999997</v>
      </c>
      <c r="D34" s="24">
        <f t="shared" si="0"/>
        <v>913.81950254019182</v>
      </c>
      <c r="E34" s="14">
        <f>400302987.47/1000</f>
        <v>400302.98747000005</v>
      </c>
      <c r="F34" s="14">
        <f>375905248.39/1000</f>
        <v>375905.24838999996</v>
      </c>
      <c r="G34" s="24">
        <f t="shared" si="10"/>
        <v>93.905181863817958</v>
      </c>
      <c r="H34" s="38">
        <f t="shared" si="2"/>
        <v>93.905181863817958</v>
      </c>
      <c r="I34" s="10">
        <f t="shared" si="3"/>
        <v>52715.596870000008</v>
      </c>
      <c r="J34" s="10">
        <f t="shared" si="4"/>
        <v>0.14023639493138393</v>
      </c>
    </row>
    <row r="35" spans="1:11" s="15" customFormat="1">
      <c r="A35" s="13" t="s">
        <v>30</v>
      </c>
      <c r="B35" s="14">
        <f>145500/1000</f>
        <v>145.5</v>
      </c>
      <c r="C35" s="14">
        <f>38680/1000</f>
        <v>38.68</v>
      </c>
      <c r="D35" s="24">
        <f t="shared" si="0"/>
        <v>26.584192439862541</v>
      </c>
      <c r="E35" s="14">
        <f>61500/1000</f>
        <v>61.5</v>
      </c>
      <c r="F35" s="14">
        <f>35676/1000</f>
        <v>35.676000000000002</v>
      </c>
      <c r="G35" s="24">
        <f t="shared" si="10"/>
        <v>58.009756097560981</v>
      </c>
      <c r="H35" s="38">
        <f t="shared" si="2"/>
        <v>58.009756097560981</v>
      </c>
      <c r="I35" s="10">
        <f t="shared" si="3"/>
        <v>3.0039999999999978</v>
      </c>
      <c r="J35" s="10">
        <f t="shared" si="4"/>
        <v>8.4202264827895432E-2</v>
      </c>
    </row>
    <row r="36" spans="1:11" s="15" customFormat="1" ht="56.25">
      <c r="A36" s="13" t="s">
        <v>31</v>
      </c>
      <c r="B36" s="14">
        <f>93260090.68/1000</f>
        <v>93260.090680000008</v>
      </c>
      <c r="C36" s="14">
        <f>90735742.26/1000</f>
        <v>90735.742259999999</v>
      </c>
      <c r="D36" s="24">
        <f t="shared" si="0"/>
        <v>97.293216850215472</v>
      </c>
      <c r="E36" s="14">
        <f>85776786.8/1000</f>
        <v>85776.786800000002</v>
      </c>
      <c r="F36" s="14">
        <f>79713924.01/1000</f>
        <v>79713.924010000002</v>
      </c>
      <c r="G36" s="24">
        <f t="shared" si="10"/>
        <v>92.931814053449713</v>
      </c>
      <c r="H36" s="38">
        <f t="shared" si="2"/>
        <v>92.931814053449713</v>
      </c>
      <c r="I36" s="10">
        <f t="shared" si="3"/>
        <v>11021.818249999997</v>
      </c>
      <c r="J36" s="10">
        <f t="shared" si="4"/>
        <v>0.13826716457487809</v>
      </c>
    </row>
    <row r="37" spans="1:11" s="15" customFormat="1">
      <c r="A37" s="13" t="s">
        <v>32</v>
      </c>
      <c r="B37" s="37">
        <f>300000/1000</f>
        <v>300</v>
      </c>
      <c r="C37" s="37">
        <f>247000/1000</f>
        <v>247</v>
      </c>
      <c r="D37" s="24">
        <v>0</v>
      </c>
      <c r="E37" s="37">
        <v>0</v>
      </c>
      <c r="F37" s="37">
        <v>0</v>
      </c>
      <c r="G37" s="19"/>
      <c r="H37" s="38">
        <v>0</v>
      </c>
      <c r="I37" s="10">
        <f t="shared" si="3"/>
        <v>247</v>
      </c>
      <c r="J37" s="10">
        <v>0</v>
      </c>
    </row>
    <row r="38" spans="1:11" s="15" customFormat="1">
      <c r="A38" s="13" t="s">
        <v>33</v>
      </c>
      <c r="B38" s="14">
        <f>228356400.67/1000</f>
        <v>228356.40066999997</v>
      </c>
      <c r="C38" s="14">
        <f>0/1000</f>
        <v>0</v>
      </c>
      <c r="D38" s="24">
        <f>C38/B38*100</f>
        <v>0</v>
      </c>
      <c r="E38" s="14">
        <f>45413848.08/1000</f>
        <v>45413.848079999996</v>
      </c>
      <c r="F38" s="14">
        <v>0</v>
      </c>
      <c r="G38" s="24">
        <f t="shared" ref="G38:G39" si="11">F38/E38*100</f>
        <v>0</v>
      </c>
      <c r="H38" s="38">
        <f t="shared" si="2"/>
        <v>0</v>
      </c>
      <c r="I38" s="10">
        <f t="shared" si="3"/>
        <v>0</v>
      </c>
      <c r="J38" s="10">
        <v>0</v>
      </c>
    </row>
    <row r="39" spans="1:11" s="15" customFormat="1">
      <c r="A39" s="13" t="s">
        <v>34</v>
      </c>
      <c r="B39" s="14">
        <f>681794194.34/1000</f>
        <v>681794.19434000005</v>
      </c>
      <c r="C39" s="14">
        <f>600269275.54/1000</f>
        <v>600269.27553999994</v>
      </c>
      <c r="D39" s="24">
        <f t="shared" si="0"/>
        <v>88.04259122814635</v>
      </c>
      <c r="E39" s="14">
        <f>726593148.02/1000</f>
        <v>726593.14801999996</v>
      </c>
      <c r="F39" s="14">
        <f>664371493.62/1000</f>
        <v>664371.49361999996</v>
      </c>
      <c r="G39" s="24">
        <f t="shared" si="11"/>
        <v>91.436520620988944</v>
      </c>
      <c r="H39" s="38">
        <f t="shared" si="2"/>
        <v>91.436520620988944</v>
      </c>
      <c r="I39" s="10">
        <f t="shared" si="3"/>
        <v>-64102.218080000021</v>
      </c>
      <c r="J39" s="10">
        <f t="shared" si="4"/>
        <v>-9.6485503510577345E-2</v>
      </c>
    </row>
    <row r="40" spans="1:11" s="15" customFormat="1">
      <c r="A40" s="13" t="s">
        <v>35</v>
      </c>
      <c r="B40" s="37">
        <f>293626853.73/1000</f>
        <v>293626.85373000003</v>
      </c>
      <c r="C40" s="37">
        <f>225097808.64/1000</f>
        <v>225097.80863999997</v>
      </c>
      <c r="D40" s="24">
        <f t="shared" si="0"/>
        <v>76.66117924179548</v>
      </c>
      <c r="E40" s="37">
        <v>0</v>
      </c>
      <c r="F40" s="37">
        <v>0</v>
      </c>
      <c r="G40" s="19"/>
      <c r="H40" s="38">
        <v>0</v>
      </c>
      <c r="I40" s="10">
        <f t="shared" si="3"/>
        <v>225097.80863999997</v>
      </c>
      <c r="J40" s="10">
        <v>0</v>
      </c>
    </row>
    <row r="41" spans="1:11" s="15" customFormat="1">
      <c r="A41" s="13" t="s">
        <v>36</v>
      </c>
      <c r="B41" s="37">
        <f>293626853.73/1000</f>
        <v>293626.85373000003</v>
      </c>
      <c r="C41" s="37">
        <f>225097808.64/1000</f>
        <v>225097.80863999997</v>
      </c>
      <c r="D41" s="24">
        <f t="shared" si="0"/>
        <v>76.66117924179548</v>
      </c>
      <c r="E41" s="37">
        <v>0</v>
      </c>
      <c r="F41" s="37">
        <v>0</v>
      </c>
      <c r="G41" s="19"/>
      <c r="H41" s="38">
        <v>0</v>
      </c>
      <c r="I41" s="10">
        <f t="shared" si="3"/>
        <v>225097.80863999997</v>
      </c>
      <c r="J41" s="10">
        <v>0</v>
      </c>
    </row>
    <row r="42" spans="1:11" s="15" customFormat="1" ht="37.5">
      <c r="A42" s="13" t="s">
        <v>37</v>
      </c>
      <c r="B42" s="14">
        <f>80333733.33/1000</f>
        <v>80333.733330000003</v>
      </c>
      <c r="C42" s="14">
        <f>59870526.55/1000</f>
        <v>59870.526549999995</v>
      </c>
      <c r="D42" s="24">
        <f t="shared" si="0"/>
        <v>74.527255323812795</v>
      </c>
      <c r="E42" s="14">
        <f>SUM(E43:E46)</f>
        <v>34124.584000000003</v>
      </c>
      <c r="F42" s="14">
        <f>SUM(F43:F46)</f>
        <v>26464.38812</v>
      </c>
      <c r="G42" s="24">
        <f t="shared" ref="G42:G43" si="12">F42/E42*100</f>
        <v>77.552265897219428</v>
      </c>
      <c r="H42" s="38">
        <f t="shared" si="2"/>
        <v>77.552265897219428</v>
      </c>
      <c r="I42" s="10">
        <f t="shared" si="3"/>
        <v>33406.138429999992</v>
      </c>
      <c r="J42" s="10">
        <f>I42/F42</f>
        <v>1.2623053394819994</v>
      </c>
    </row>
    <row r="43" spans="1:11" s="15" customFormat="1" ht="56.25">
      <c r="A43" s="13" t="s">
        <v>38</v>
      </c>
      <c r="B43" s="37">
        <f>7074500/1000</f>
        <v>7074.5</v>
      </c>
      <c r="C43" s="37">
        <f>7067873.65/1000</f>
        <v>7067.8736500000005</v>
      </c>
      <c r="D43" s="24">
        <f t="shared" si="0"/>
        <v>99.90633472330201</v>
      </c>
      <c r="E43" s="14">
        <f>4439400/1000</f>
        <v>4439.3999999999996</v>
      </c>
      <c r="F43" s="14">
        <f>4393254.12/1000</f>
        <v>4393.2541200000005</v>
      </c>
      <c r="G43" s="24">
        <f t="shared" si="12"/>
        <v>98.960537910528473</v>
      </c>
      <c r="H43" s="38">
        <f t="shared" si="2"/>
        <v>98.960537910528473</v>
      </c>
      <c r="I43" s="10">
        <f>C43-F43</f>
        <v>2674.6195299999999</v>
      </c>
      <c r="J43" s="10">
        <f t="shared" si="4"/>
        <v>0.60880146172832805</v>
      </c>
    </row>
    <row r="44" spans="1:11" s="15" customFormat="1">
      <c r="A44" s="13" t="s">
        <v>39</v>
      </c>
      <c r="B44" s="37">
        <v>0</v>
      </c>
      <c r="C44" s="37">
        <v>0</v>
      </c>
      <c r="D44" s="24">
        <v>0</v>
      </c>
      <c r="E44" s="37">
        <v>0</v>
      </c>
      <c r="F44" s="37">
        <f>SUM(E44)</f>
        <v>0</v>
      </c>
      <c r="G44" s="19"/>
      <c r="H44" s="38">
        <v>0</v>
      </c>
      <c r="I44" s="10">
        <f t="shared" si="3"/>
        <v>0</v>
      </c>
      <c r="J44" s="10">
        <v>0</v>
      </c>
    </row>
    <row r="45" spans="1:11" s="15" customFormat="1">
      <c r="A45" s="13" t="s">
        <v>97</v>
      </c>
      <c r="B45" s="37">
        <f>42217362.33/1000</f>
        <v>42217.362329999996</v>
      </c>
      <c r="C45" s="37">
        <f>26760781.9/1000</f>
        <v>26760.781899999998</v>
      </c>
      <c r="D45" s="24">
        <f t="shared" si="0"/>
        <v>63.38809537843526</v>
      </c>
      <c r="E45" s="37">
        <f>8360600/1000</f>
        <v>8360.6</v>
      </c>
      <c r="F45" s="37">
        <f>746550/1000</f>
        <v>746.55</v>
      </c>
      <c r="G45" s="40"/>
      <c r="H45" s="38">
        <v>0</v>
      </c>
      <c r="I45" s="10">
        <f>C45-F45</f>
        <v>26014.231899999999</v>
      </c>
      <c r="J45" s="10">
        <f t="shared" si="4"/>
        <v>34.845933828946485</v>
      </c>
    </row>
    <row r="46" spans="1:11" s="15" customFormat="1" ht="37.5">
      <c r="A46" s="13" t="s">
        <v>40</v>
      </c>
      <c r="B46" s="14">
        <f>26041871/1000</f>
        <v>26041.870999999999</v>
      </c>
      <c r="C46" s="14">
        <f>26041871/1000</f>
        <v>26041.870999999999</v>
      </c>
      <c r="D46" s="24">
        <f t="shared" si="0"/>
        <v>100</v>
      </c>
      <c r="E46" s="14">
        <f>21324584/1000</f>
        <v>21324.583999999999</v>
      </c>
      <c r="F46" s="14">
        <f>21324584/1000</f>
        <v>21324.583999999999</v>
      </c>
      <c r="G46" s="24">
        <f t="shared" ref="G46:G47" si="13">F46/E46*100</f>
        <v>100</v>
      </c>
      <c r="H46" s="38">
        <f t="shared" si="2"/>
        <v>100</v>
      </c>
      <c r="I46" s="10">
        <f t="shared" si="3"/>
        <v>4717.2870000000003</v>
      </c>
      <c r="J46" s="10">
        <f t="shared" si="4"/>
        <v>0.22121355333356096</v>
      </c>
    </row>
    <row r="47" spans="1:11" s="15" customFormat="1">
      <c r="A47" s="13" t="s">
        <v>41</v>
      </c>
      <c r="B47" s="37">
        <f>307764523.99/1000</f>
        <v>307764.52399000002</v>
      </c>
      <c r="C47" s="37">
        <f>297485410.87/1000</f>
        <v>297485.41087000002</v>
      </c>
      <c r="D47" s="24">
        <f t="shared" si="0"/>
        <v>96.660072126983039</v>
      </c>
      <c r="E47" s="14">
        <f>SUM(E48:E53)</f>
        <v>188813.77065999998</v>
      </c>
      <c r="F47" s="14">
        <f>SUM(F48:F53)</f>
        <v>184445.29434999998</v>
      </c>
      <c r="G47" s="24">
        <f t="shared" si="13"/>
        <v>97.686357147187962</v>
      </c>
      <c r="H47" s="38">
        <f t="shared" si="2"/>
        <v>97.686357147187962</v>
      </c>
      <c r="I47" s="10">
        <f t="shared" si="3"/>
        <v>113040.11652000004</v>
      </c>
      <c r="J47" s="10">
        <f t="shared" si="4"/>
        <v>0.61286527757925446</v>
      </c>
    </row>
    <row r="48" spans="1:11" s="15" customFormat="1">
      <c r="A48" s="13" t="s">
        <v>42</v>
      </c>
      <c r="B48" s="37">
        <v>0</v>
      </c>
      <c r="C48" s="37">
        <v>0</v>
      </c>
      <c r="D48" s="24">
        <v>0</v>
      </c>
      <c r="E48" s="37">
        <v>0</v>
      </c>
      <c r="F48" s="37">
        <v>0</v>
      </c>
      <c r="G48" s="19"/>
      <c r="H48" s="38">
        <v>0</v>
      </c>
      <c r="I48" s="10">
        <f t="shared" si="3"/>
        <v>0</v>
      </c>
      <c r="J48" s="10">
        <v>0</v>
      </c>
    </row>
    <row r="49" spans="1:10" s="15" customFormat="1">
      <c r="A49" s="13" t="s">
        <v>43</v>
      </c>
      <c r="B49" s="14">
        <f>23645600/1000</f>
        <v>23645.599999999999</v>
      </c>
      <c r="C49" s="14">
        <f>23645540/1000</f>
        <v>23645.54</v>
      </c>
      <c r="D49" s="24">
        <f t="shared" si="0"/>
        <v>99.999746253002684</v>
      </c>
      <c r="E49" s="14">
        <f>16800000/1000</f>
        <v>16800</v>
      </c>
      <c r="F49" s="14">
        <f>16800000/1000</f>
        <v>16800</v>
      </c>
      <c r="G49" s="24">
        <f t="shared" ref="G49" si="14">F49/E49*100</f>
        <v>100</v>
      </c>
      <c r="H49" s="38">
        <f t="shared" si="2"/>
        <v>100</v>
      </c>
      <c r="I49" s="10">
        <f t="shared" si="3"/>
        <v>6845.5400000000009</v>
      </c>
      <c r="J49" s="10">
        <f t="shared" si="4"/>
        <v>0.40747261904761911</v>
      </c>
    </row>
    <row r="50" spans="1:10" s="15" customFormat="1">
      <c r="A50" s="13" t="s">
        <v>86</v>
      </c>
      <c r="B50" s="37">
        <f>6739155.36/1000</f>
        <v>6739.1553600000007</v>
      </c>
      <c r="C50" s="37">
        <f>4382458.3/1000</f>
        <v>4382.4583000000002</v>
      </c>
      <c r="D50" s="24">
        <f t="shared" si="0"/>
        <v>65.029785869189396</v>
      </c>
      <c r="E50" s="37">
        <f>2553488.79/1000</f>
        <v>2553.4887899999999</v>
      </c>
      <c r="F50" s="37">
        <f>1422030.43/1000</f>
        <v>1422.03043</v>
      </c>
      <c r="G50" s="19"/>
      <c r="H50" s="38">
        <f t="shared" si="2"/>
        <v>55.689707179016047</v>
      </c>
      <c r="I50" s="10">
        <f>C50-F50</f>
        <v>2960.4278700000004</v>
      </c>
      <c r="J50" s="10">
        <f t="shared" si="4"/>
        <v>2.0818315892157107</v>
      </c>
    </row>
    <row r="51" spans="1:10" s="15" customFormat="1">
      <c r="A51" s="13" t="s">
        <v>44</v>
      </c>
      <c r="B51" s="14">
        <f>54262392.13/1000</f>
        <v>54262.39213</v>
      </c>
      <c r="C51" s="14">
        <f>54031415.67/1000</f>
        <v>54031.415670000002</v>
      </c>
      <c r="D51" s="24">
        <f t="shared" si="0"/>
        <v>99.574334173387285</v>
      </c>
      <c r="E51" s="14">
        <f>63908947.36/1000</f>
        <v>63908.947359999998</v>
      </c>
      <c r="F51" s="14">
        <f>63361949.57/1000</f>
        <v>63361.949569999997</v>
      </c>
      <c r="G51" s="24">
        <f t="shared" ref="G51:G69" si="15">F51/E51*100</f>
        <v>99.144098263864748</v>
      </c>
      <c r="H51" s="38">
        <f t="shared" si="2"/>
        <v>99.144098263864748</v>
      </c>
      <c r="I51" s="10">
        <f t="shared" si="3"/>
        <v>-9330.5338999999949</v>
      </c>
      <c r="J51" s="10">
        <f t="shared" si="4"/>
        <v>-0.14725768325186961</v>
      </c>
    </row>
    <row r="52" spans="1:10" s="15" customFormat="1">
      <c r="A52" s="13" t="s">
        <v>45</v>
      </c>
      <c r="B52" s="14">
        <f>5700000/1000</f>
        <v>5700</v>
      </c>
      <c r="C52" s="14">
        <f>5700000/1000</f>
        <v>5700</v>
      </c>
      <c r="D52" s="24">
        <f t="shared" si="0"/>
        <v>100</v>
      </c>
      <c r="E52" s="14">
        <f>5500000/1000</f>
        <v>5500</v>
      </c>
      <c r="F52" s="14">
        <f>5500000/1000</f>
        <v>5500</v>
      </c>
      <c r="G52" s="24">
        <f t="shared" si="15"/>
        <v>100</v>
      </c>
      <c r="H52" s="38">
        <f t="shared" si="2"/>
        <v>100</v>
      </c>
      <c r="I52" s="10">
        <f t="shared" si="3"/>
        <v>200</v>
      </c>
      <c r="J52" s="10">
        <f t="shared" si="4"/>
        <v>3.6363636363636362E-2</v>
      </c>
    </row>
    <row r="53" spans="1:10" s="15" customFormat="1">
      <c r="A53" s="13" t="s">
        <v>46</v>
      </c>
      <c r="B53" s="14">
        <f>217417376.5/1000</f>
        <v>217417.37650000001</v>
      </c>
      <c r="C53" s="14">
        <f>209725996.9/1000</f>
        <v>209725.9969</v>
      </c>
      <c r="D53" s="24">
        <f t="shared" si="0"/>
        <v>96.462389656329975</v>
      </c>
      <c r="E53" s="14">
        <f>100051334.51/1000</f>
        <v>100051.33451</v>
      </c>
      <c r="F53" s="14">
        <f>97361314.35/1000</f>
        <v>97361.314350000001</v>
      </c>
      <c r="G53" s="24">
        <f t="shared" si="15"/>
        <v>97.311360040149054</v>
      </c>
      <c r="H53" s="38">
        <f t="shared" si="2"/>
        <v>97.311360040149054</v>
      </c>
      <c r="I53" s="10">
        <f t="shared" si="3"/>
        <v>112364.68255</v>
      </c>
      <c r="J53" s="10">
        <f t="shared" si="4"/>
        <v>1.1540998937839422</v>
      </c>
    </row>
    <row r="54" spans="1:10" s="15" customFormat="1">
      <c r="A54" s="13" t="s">
        <v>47</v>
      </c>
      <c r="B54" s="14">
        <f>29909506/1000</f>
        <v>29909.506000000001</v>
      </c>
      <c r="C54" s="14">
        <f>29614037.16/1000</f>
        <v>29614.03716</v>
      </c>
      <c r="D54" s="24">
        <f t="shared" si="0"/>
        <v>99.012123971556065</v>
      </c>
      <c r="E54" s="14">
        <f>SUM(E55:E58)</f>
        <v>35825.008260000002</v>
      </c>
      <c r="F54" s="14">
        <f>SUM(F55:F58)</f>
        <v>34186.062160000001</v>
      </c>
      <c r="G54" s="24">
        <f t="shared" si="15"/>
        <v>95.425134062481305</v>
      </c>
      <c r="H54" s="38">
        <f t="shared" si="2"/>
        <v>95.425134062481305</v>
      </c>
      <c r="I54" s="10">
        <f t="shared" si="3"/>
        <v>-4572.0250000000015</v>
      </c>
      <c r="J54" s="10">
        <f t="shared" si="4"/>
        <v>-0.13373944558462714</v>
      </c>
    </row>
    <row r="55" spans="1:10" s="15" customFormat="1">
      <c r="A55" s="13" t="s">
        <v>48</v>
      </c>
      <c r="B55" s="14">
        <f>1025000/1000</f>
        <v>1025</v>
      </c>
      <c r="C55" s="14">
        <f>729531.16/1000</f>
        <v>729.53116</v>
      </c>
      <c r="D55" s="24">
        <f t="shared" si="0"/>
        <v>71.173771707317073</v>
      </c>
      <c r="E55" s="14">
        <f>2265510/1000</f>
        <v>2265.5100000000002</v>
      </c>
      <c r="F55" s="14">
        <f>627683.01/1000</f>
        <v>627.68300999999997</v>
      </c>
      <c r="G55" s="24">
        <f t="shared" si="15"/>
        <v>27.706035727054829</v>
      </c>
      <c r="H55" s="38">
        <f t="shared" si="2"/>
        <v>27.706035727054829</v>
      </c>
      <c r="I55" s="10">
        <f t="shared" si="3"/>
        <v>101.84815000000003</v>
      </c>
      <c r="J55" s="10">
        <f t="shared" si="4"/>
        <v>0.16226048559128603</v>
      </c>
    </row>
    <row r="56" spans="1:10" s="15" customFormat="1">
      <c r="A56" s="13" t="s">
        <v>49</v>
      </c>
      <c r="B56" s="14">
        <f>1028521.4/1000</f>
        <v>1028.5214000000001</v>
      </c>
      <c r="C56" s="14">
        <f>1028521.4/1000</f>
        <v>1028.5214000000001</v>
      </c>
      <c r="D56" s="24">
        <f t="shared" si="0"/>
        <v>100</v>
      </c>
      <c r="E56" s="14">
        <f>1546230.08/1000</f>
        <v>1546.23008</v>
      </c>
      <c r="F56" s="14">
        <f>1545190.97/1000</f>
        <v>1545.1909699999999</v>
      </c>
      <c r="G56" s="24">
        <f t="shared" si="15"/>
        <v>99.932797194063113</v>
      </c>
      <c r="H56" s="38">
        <f t="shared" si="2"/>
        <v>99.932797194063113</v>
      </c>
      <c r="I56" s="10">
        <f t="shared" si="3"/>
        <v>-516.66956999999979</v>
      </c>
      <c r="J56" s="10">
        <f t="shared" si="4"/>
        <v>-0.3343726309764804</v>
      </c>
    </row>
    <row r="57" spans="1:10" s="15" customFormat="1">
      <c r="A57" s="13" t="s">
        <v>50</v>
      </c>
      <c r="B57" s="14">
        <v>0</v>
      </c>
      <c r="C57" s="14">
        <v>0</v>
      </c>
      <c r="D57" s="24">
        <v>0</v>
      </c>
      <c r="E57" s="14">
        <v>0</v>
      </c>
      <c r="F57" s="14">
        <v>0</v>
      </c>
      <c r="G57" s="24" t="e">
        <f t="shared" si="15"/>
        <v>#DIV/0!</v>
      </c>
      <c r="H57" s="38">
        <v>0</v>
      </c>
      <c r="I57" s="10">
        <f t="shared" si="3"/>
        <v>0</v>
      </c>
      <c r="J57" s="10">
        <v>0</v>
      </c>
    </row>
    <row r="58" spans="1:10" s="15" customFormat="1" ht="37.5">
      <c r="A58" s="13" t="s">
        <v>51</v>
      </c>
      <c r="B58" s="14">
        <f>27855984.6/1000</f>
        <v>27855.9846</v>
      </c>
      <c r="C58" s="14">
        <f>27855984.6/1000</f>
        <v>27855.9846</v>
      </c>
      <c r="D58" s="24">
        <f t="shared" si="0"/>
        <v>100</v>
      </c>
      <c r="E58" s="14">
        <f>32013268.18/1000</f>
        <v>32013.268179999999</v>
      </c>
      <c r="F58" s="14">
        <f>32013188.18/1000</f>
        <v>32013.188180000001</v>
      </c>
      <c r="G58" s="24">
        <f t="shared" si="15"/>
        <v>99.999750103614701</v>
      </c>
      <c r="H58" s="38">
        <f t="shared" si="2"/>
        <v>99.999750103614701</v>
      </c>
      <c r="I58" s="10">
        <f t="shared" si="3"/>
        <v>-4157.2035800000012</v>
      </c>
      <c r="J58" s="10">
        <f t="shared" si="4"/>
        <v>-0.12985909296585407</v>
      </c>
    </row>
    <row r="59" spans="1:10" s="15" customFormat="1">
      <c r="A59" s="13" t="s">
        <v>52</v>
      </c>
      <c r="B59" s="14">
        <f>31953829.35/1000</f>
        <v>31953.82935</v>
      </c>
      <c r="C59" s="14">
        <f>27502382.41/1000</f>
        <v>27502.382409999998</v>
      </c>
      <c r="D59" s="24">
        <f t="shared" si="0"/>
        <v>86.069128393839904</v>
      </c>
      <c r="E59" s="14">
        <f>SUM(E60)</f>
        <v>26000</v>
      </c>
      <c r="F59" s="14">
        <f>SUM(F60)</f>
        <v>17544.431499999999</v>
      </c>
      <c r="G59" s="24">
        <f t="shared" si="15"/>
        <v>67.478582692307683</v>
      </c>
      <c r="H59" s="38">
        <f t="shared" si="2"/>
        <v>67.478582692307683</v>
      </c>
      <c r="I59" s="10">
        <f t="shared" si="3"/>
        <v>9957.9509099999996</v>
      </c>
      <c r="J59" s="10">
        <f t="shared" si="4"/>
        <v>0.5675847011628733</v>
      </c>
    </row>
    <row r="60" spans="1:10" s="15" customFormat="1">
      <c r="A60" s="13" t="s">
        <v>53</v>
      </c>
      <c r="B60" s="14">
        <f>31953829.35/1000</f>
        <v>31953.82935</v>
      </c>
      <c r="C60" s="14">
        <f>27502382.41/1000</f>
        <v>27502.382409999998</v>
      </c>
      <c r="D60" s="24">
        <f t="shared" si="0"/>
        <v>86.069128393839904</v>
      </c>
      <c r="E60" s="14">
        <f>26000000/1000</f>
        <v>26000</v>
      </c>
      <c r="F60" s="14">
        <f>17544431.5/1000</f>
        <v>17544.431499999999</v>
      </c>
      <c r="G60" s="24">
        <f t="shared" si="15"/>
        <v>67.478582692307683</v>
      </c>
      <c r="H60" s="38">
        <f t="shared" ref="H60" si="16">F60/E60*100</f>
        <v>67.478582692307683</v>
      </c>
      <c r="I60" s="10">
        <f t="shared" si="3"/>
        <v>9957.9509099999996</v>
      </c>
      <c r="J60" s="10">
        <f t="shared" si="4"/>
        <v>0.5675847011628733</v>
      </c>
    </row>
    <row r="61" spans="1:10" s="15" customFormat="1">
      <c r="A61" s="13" t="s">
        <v>54</v>
      </c>
      <c r="B61" s="14">
        <f>25351388464.37/1000</f>
        <v>25351388.464369997</v>
      </c>
      <c r="C61" s="14">
        <f>25031493773.52/1000</f>
        <v>25031493.77352</v>
      </c>
      <c r="D61" s="24">
        <f t="shared" si="0"/>
        <v>98.738157117904635</v>
      </c>
      <c r="E61" s="14">
        <f>SUM(E62:E67)</f>
        <v>17324651.327370003</v>
      </c>
      <c r="F61" s="14">
        <f>SUM(F62:F67)</f>
        <v>17074072.753670003</v>
      </c>
      <c r="G61" s="24">
        <f t="shared" si="15"/>
        <v>98.55362991747991</v>
      </c>
      <c r="H61" s="38">
        <f t="shared" si="2"/>
        <v>98.55362991747991</v>
      </c>
      <c r="I61" s="10">
        <f t="shared" si="3"/>
        <v>7957421.019849997</v>
      </c>
      <c r="J61" s="10">
        <f t="shared" si="4"/>
        <v>0.46605289403722266</v>
      </c>
    </row>
    <row r="62" spans="1:10" s="15" customFormat="1">
      <c r="A62" s="13" t="s">
        <v>55</v>
      </c>
      <c r="B62" s="14">
        <f>10971516444.43/1000</f>
        <v>10971516.444430001</v>
      </c>
      <c r="C62" s="14">
        <f>10911937004.33/1000</f>
        <v>10911937.00433</v>
      </c>
      <c r="D62" s="24">
        <f t="shared" si="0"/>
        <v>99.45696257758199</v>
      </c>
      <c r="E62" s="14">
        <f>7129369104.79/1000</f>
        <v>7129369.1047900002</v>
      </c>
      <c r="F62" s="14">
        <f>7080610429.38/1000</f>
        <v>7080610.4293800006</v>
      </c>
      <c r="G62" s="24">
        <f t="shared" si="15"/>
        <v>99.316087094196874</v>
      </c>
      <c r="H62" s="38">
        <f t="shared" si="2"/>
        <v>99.316087094196874</v>
      </c>
      <c r="I62" s="10">
        <f t="shared" si="3"/>
        <v>3831326.5749499993</v>
      </c>
      <c r="J62" s="10">
        <f t="shared" si="4"/>
        <v>0.54110116820612619</v>
      </c>
    </row>
    <row r="63" spans="1:10" s="15" customFormat="1">
      <c r="A63" s="13" t="s">
        <v>56</v>
      </c>
      <c r="B63" s="14">
        <f>12648850341.16/1000</f>
        <v>12648850.341159999</v>
      </c>
      <c r="C63" s="14">
        <f>12431417267.61/1000</f>
        <v>12431417.26761</v>
      </c>
      <c r="D63" s="24">
        <f t="shared" si="0"/>
        <v>98.281005248022737</v>
      </c>
      <c r="E63" s="14">
        <f>8507561566.13/1000</f>
        <v>8507561.5661299992</v>
      </c>
      <c r="F63" s="14">
        <f>8340134406.61/1000</f>
        <v>8340134.4066099999</v>
      </c>
      <c r="G63" s="24">
        <f t="shared" si="15"/>
        <v>98.032019419212276</v>
      </c>
      <c r="H63" s="38">
        <f t="shared" si="2"/>
        <v>98.032019419212276</v>
      </c>
      <c r="I63" s="10">
        <f t="shared" si="3"/>
        <v>4091282.8610000005</v>
      </c>
      <c r="J63" s="10">
        <f t="shared" si="4"/>
        <v>0.49055358841188956</v>
      </c>
    </row>
    <row r="64" spans="1:10" s="15" customFormat="1">
      <c r="A64" s="13" t="s">
        <v>57</v>
      </c>
      <c r="B64" s="14">
        <f>1177668837.05/1000</f>
        <v>1177668.83705</v>
      </c>
      <c r="C64" s="14">
        <f>1139634714.48/1000</f>
        <v>1139634.7144800001</v>
      </c>
      <c r="D64" s="24">
        <f t="shared" si="0"/>
        <v>96.770388977492743</v>
      </c>
      <c r="E64" s="14">
        <f>973210861.63/1000</f>
        <v>973210.86162999994</v>
      </c>
      <c r="F64" s="14">
        <f>970756350.67/1000</f>
        <v>970756.35066999996</v>
      </c>
      <c r="G64" s="24">
        <f t="shared" si="15"/>
        <v>99.747792481899651</v>
      </c>
      <c r="H64" s="38">
        <f t="shared" si="2"/>
        <v>99.747792481899651</v>
      </c>
      <c r="I64" s="10">
        <f t="shared" si="3"/>
        <v>168878.36381000013</v>
      </c>
      <c r="J64" s="10">
        <f t="shared" si="4"/>
        <v>0.17396575741528045</v>
      </c>
    </row>
    <row r="65" spans="1:10" s="15" customFormat="1" ht="37.5">
      <c r="A65" s="13" t="s">
        <v>58</v>
      </c>
      <c r="B65" s="14">
        <f>0/1000</f>
        <v>0</v>
      </c>
      <c r="C65" s="14">
        <f>0/1000</f>
        <v>0</v>
      </c>
      <c r="D65" s="24">
        <v>0</v>
      </c>
      <c r="E65" s="14">
        <f>800000/1000</f>
        <v>800</v>
      </c>
      <c r="F65" s="14">
        <f>800000/1000</f>
        <v>800</v>
      </c>
      <c r="G65" s="24">
        <f t="shared" si="15"/>
        <v>100</v>
      </c>
      <c r="H65" s="38">
        <f t="shared" si="2"/>
        <v>100</v>
      </c>
      <c r="I65" s="10">
        <f>C65-F65</f>
        <v>-800</v>
      </c>
      <c r="J65" s="10">
        <f t="shared" si="4"/>
        <v>-1</v>
      </c>
    </row>
    <row r="66" spans="1:10" s="15" customFormat="1">
      <c r="A66" s="13" t="s">
        <v>89</v>
      </c>
      <c r="B66" s="14">
        <f>290767631.81/1000</f>
        <v>290767.63180999999</v>
      </c>
      <c r="C66" s="14">
        <f>290207344.38/1000</f>
        <v>290207.34438000002</v>
      </c>
      <c r="D66" s="24">
        <f t="shared" si="0"/>
        <v>99.807307496191299</v>
      </c>
      <c r="E66" s="14">
        <f>485097101.1/1000</f>
        <v>485097.10110000003</v>
      </c>
      <c r="F66" s="14">
        <f>456608693.91/1000</f>
        <v>456608.69391000003</v>
      </c>
      <c r="G66" s="24">
        <f t="shared" si="15"/>
        <v>94.127277379023695</v>
      </c>
      <c r="H66" s="38">
        <f t="shared" si="2"/>
        <v>94.127277379023695</v>
      </c>
      <c r="I66" s="10">
        <f t="shared" si="3"/>
        <v>-166401.34953000001</v>
      </c>
      <c r="J66" s="10">
        <f t="shared" si="4"/>
        <v>-0.36442878059347372</v>
      </c>
    </row>
    <row r="67" spans="1:10" s="15" customFormat="1">
      <c r="A67" s="13" t="s">
        <v>59</v>
      </c>
      <c r="B67" s="14">
        <f>262585209.92/1000</f>
        <v>262585.20991999999</v>
      </c>
      <c r="C67" s="14">
        <f>258297442.72/1000</f>
        <v>258297.44271999999</v>
      </c>
      <c r="D67" s="24">
        <f t="shared" si="0"/>
        <v>98.367094932229307</v>
      </c>
      <c r="E67" s="14">
        <f>228612693.72/1000</f>
        <v>228612.69372000001</v>
      </c>
      <c r="F67" s="14">
        <f>225162873.1/1000</f>
        <v>225162.8731</v>
      </c>
      <c r="G67" s="24">
        <f t="shared" si="15"/>
        <v>98.490975910451724</v>
      </c>
      <c r="H67" s="38">
        <f t="shared" si="2"/>
        <v>98.490975910451724</v>
      </c>
      <c r="I67" s="10">
        <f t="shared" si="3"/>
        <v>33134.569619999995</v>
      </c>
      <c r="J67" s="10">
        <f t="shared" si="4"/>
        <v>0.14715822890252503</v>
      </c>
    </row>
    <row r="68" spans="1:10" s="15" customFormat="1">
      <c r="A68" s="13" t="s">
        <v>60</v>
      </c>
      <c r="B68" s="14">
        <f>243297075.46/1000</f>
        <v>243297.07546000002</v>
      </c>
      <c r="C68" s="14">
        <f>243296897.01/1000</f>
        <v>243296.89700999999</v>
      </c>
      <c r="D68" s="24">
        <f t="shared" si="0"/>
        <v>99.999926653454551</v>
      </c>
      <c r="E68" s="14">
        <f>SUM(E69:E70)</f>
        <v>119770.67369</v>
      </c>
      <c r="F68" s="14">
        <f>SUM(F69:F70)</f>
        <v>119138.85381999999</v>
      </c>
      <c r="G68" s="24">
        <f t="shared" si="15"/>
        <v>99.472475314253188</v>
      </c>
      <c r="H68" s="38">
        <f t="shared" si="2"/>
        <v>99.472475314253188</v>
      </c>
      <c r="I68" s="10">
        <f t="shared" si="3"/>
        <v>124158.04319</v>
      </c>
      <c r="J68" s="10">
        <f t="shared" si="4"/>
        <v>1.0421289042916528</v>
      </c>
    </row>
    <row r="69" spans="1:10" s="15" customFormat="1">
      <c r="A69" s="13" t="s">
        <v>61</v>
      </c>
      <c r="B69" s="14">
        <f>243297075.46/1000</f>
        <v>243297.07546000002</v>
      </c>
      <c r="C69" s="14">
        <f>243296897.01/1000</f>
        <v>243296.89700999999</v>
      </c>
      <c r="D69" s="24">
        <f t="shared" ref="D69" si="17">C69/B69*100</f>
        <v>99.999926653454551</v>
      </c>
      <c r="E69" s="14">
        <f>119770673.69/1000</f>
        <v>119770.67369</v>
      </c>
      <c r="F69" s="14">
        <f>119138853.82/1000</f>
        <v>119138.85381999999</v>
      </c>
      <c r="G69" s="24">
        <f t="shared" si="15"/>
        <v>99.472475314253188</v>
      </c>
      <c r="H69" s="38">
        <f t="shared" si="2"/>
        <v>99.472475314253188</v>
      </c>
      <c r="I69" s="10">
        <f t="shared" si="3"/>
        <v>124158.04319</v>
      </c>
      <c r="J69" s="10">
        <f t="shared" si="4"/>
        <v>1.0421289042916528</v>
      </c>
    </row>
    <row r="70" spans="1:10" s="15" customFormat="1">
      <c r="A70" s="13" t="s">
        <v>62</v>
      </c>
      <c r="B70" s="14">
        <v>0</v>
      </c>
      <c r="C70" s="14">
        <v>0</v>
      </c>
      <c r="D70" s="24">
        <v>0</v>
      </c>
      <c r="E70" s="14">
        <v>0</v>
      </c>
      <c r="F70" s="14">
        <v>0</v>
      </c>
      <c r="G70" s="24">
        <v>0</v>
      </c>
      <c r="H70" s="38">
        <v>0</v>
      </c>
      <c r="I70" s="10">
        <f t="shared" si="3"/>
        <v>0</v>
      </c>
      <c r="J70" s="10">
        <v>0</v>
      </c>
    </row>
    <row r="71" spans="1:10" s="15" customFormat="1">
      <c r="A71" s="13" t="s">
        <v>63</v>
      </c>
      <c r="B71" s="14">
        <f>1602491022.19/1000</f>
        <v>1602491.0221900002</v>
      </c>
      <c r="C71" s="14">
        <f>1511669491.56/1000</f>
        <v>1511669.49156</v>
      </c>
      <c r="D71" s="24">
        <f t="shared" si="0"/>
        <v>94.33247803748182</v>
      </c>
      <c r="E71" s="14">
        <f>SUM(E72:E75)</f>
        <v>1564523.93285</v>
      </c>
      <c r="F71" s="14">
        <f>SUM(F72:F75)</f>
        <v>1424086.7523000001</v>
      </c>
      <c r="G71" s="24">
        <f t="shared" ref="G71:G79" si="18">F71/E71*100</f>
        <v>91.023647666790623</v>
      </c>
      <c r="H71" s="38">
        <f t="shared" si="2"/>
        <v>91.023647666790623</v>
      </c>
      <c r="I71" s="10">
        <f t="shared" si="3"/>
        <v>87582.739259999944</v>
      </c>
      <c r="J71" s="10">
        <f t="shared" si="4"/>
        <v>6.1500985890464661E-2</v>
      </c>
    </row>
    <row r="72" spans="1:10" s="15" customFormat="1">
      <c r="A72" s="13" t="s">
        <v>64</v>
      </c>
      <c r="B72" s="14">
        <f>57621601/1000</f>
        <v>57621.601000000002</v>
      </c>
      <c r="C72" s="14">
        <f>57585431/1000</f>
        <v>57585.430999999997</v>
      </c>
      <c r="D72" s="24">
        <f t="shared" si="0"/>
        <v>99.9372284015503</v>
      </c>
      <c r="E72" s="14">
        <f>53654500/1000</f>
        <v>53654.5</v>
      </c>
      <c r="F72" s="14">
        <f>53628408/1000</f>
        <v>53628.408000000003</v>
      </c>
      <c r="G72" s="24">
        <f t="shared" si="18"/>
        <v>99.951370341723447</v>
      </c>
      <c r="H72" s="38">
        <f t="shared" si="2"/>
        <v>99.951370341723447</v>
      </c>
      <c r="I72" s="10">
        <f t="shared" si="3"/>
        <v>3957.0229999999938</v>
      </c>
      <c r="J72" s="10">
        <f t="shared" si="4"/>
        <v>7.3785949416958152E-2</v>
      </c>
    </row>
    <row r="73" spans="1:10" s="15" customFormat="1">
      <c r="A73" s="13" t="s">
        <v>65</v>
      </c>
      <c r="B73" s="14">
        <f>745219723.34/1000</f>
        <v>745219.72334000003</v>
      </c>
      <c r="C73" s="14">
        <f>677106071.64/1000</f>
        <v>677106.07163999998</v>
      </c>
      <c r="D73" s="24">
        <f t="shared" si="0"/>
        <v>90.859923648461489</v>
      </c>
      <c r="E73" s="14">
        <f>643835660/1000</f>
        <v>643835.66</v>
      </c>
      <c r="F73" s="14">
        <f>590407209.06/1000</f>
        <v>590407.20905999991</v>
      </c>
      <c r="G73" s="24">
        <f t="shared" si="18"/>
        <v>91.701539032491596</v>
      </c>
      <c r="H73" s="38">
        <f t="shared" si="2"/>
        <v>91.701539032491596</v>
      </c>
      <c r="I73" s="10">
        <f t="shared" si="3"/>
        <v>86698.862580000074</v>
      </c>
      <c r="J73" s="10">
        <f t="shared" si="4"/>
        <v>0.14684587391477691</v>
      </c>
    </row>
    <row r="74" spans="1:10" s="15" customFormat="1">
      <c r="A74" s="13" t="s">
        <v>66</v>
      </c>
      <c r="B74" s="14">
        <f>673126179.74/1000</f>
        <v>673126.17974000005</v>
      </c>
      <c r="C74" s="14">
        <f>651994824.58/1000</f>
        <v>651994.82458000001</v>
      </c>
      <c r="D74" s="24">
        <f t="shared" ref="D74:D92" si="19">C74/B74*100</f>
        <v>96.860714113338716</v>
      </c>
      <c r="E74" s="14">
        <f>749771565.85/1000</f>
        <v>749771.56585000001</v>
      </c>
      <c r="F74" s="14">
        <f>669112236.73/1000</f>
        <v>669112.23673</v>
      </c>
      <c r="G74" s="24">
        <f t="shared" si="18"/>
        <v>89.242146169072413</v>
      </c>
      <c r="H74" s="38">
        <f t="shared" si="2"/>
        <v>89.242146169072413</v>
      </c>
      <c r="I74" s="10">
        <f t="shared" si="3"/>
        <v>-17117.412149999989</v>
      </c>
      <c r="J74" s="10">
        <f t="shared" si="4"/>
        <v>-2.5582273362170185E-2</v>
      </c>
    </row>
    <row r="75" spans="1:10" s="15" customFormat="1">
      <c r="A75" s="13" t="s">
        <v>67</v>
      </c>
      <c r="B75" s="14">
        <f>126523518.11/1000</f>
        <v>126523.51811</v>
      </c>
      <c r="C75" s="14">
        <f>124983164.34/1000</f>
        <v>124983.16434</v>
      </c>
      <c r="D75" s="24">
        <f t="shared" si="19"/>
        <v>98.782555375467183</v>
      </c>
      <c r="E75" s="14">
        <f>117262207/1000</f>
        <v>117262.20699999999</v>
      </c>
      <c r="F75" s="14">
        <f>110938898.51/1000</f>
        <v>110938.89851</v>
      </c>
      <c r="G75" s="24">
        <f t="shared" si="18"/>
        <v>94.607547775388539</v>
      </c>
      <c r="H75" s="38">
        <f t="shared" ref="H75:H92" si="20">F75/E75*100</f>
        <v>94.607547775388539</v>
      </c>
      <c r="I75" s="10">
        <f t="shared" ref="I75:I92" si="21">C75-F75</f>
        <v>14044.265830000004</v>
      </c>
      <c r="J75" s="10">
        <f t="shared" ref="J75:J92" si="22">I75/F75</f>
        <v>0.12659460314304508</v>
      </c>
    </row>
    <row r="76" spans="1:10" s="15" customFormat="1">
      <c r="A76" s="13" t="s">
        <v>68</v>
      </c>
      <c r="B76" s="14">
        <f>1208998072.46/1000</f>
        <v>1208998.0724599999</v>
      </c>
      <c r="C76" s="14">
        <f>801208788.19/1000</f>
        <v>801208.78819000011</v>
      </c>
      <c r="D76" s="24">
        <f t="shared" si="19"/>
        <v>66.270476888333363</v>
      </c>
      <c r="E76" s="14">
        <f>SUM(E77:E80)</f>
        <v>742210.85184000002</v>
      </c>
      <c r="F76" s="14">
        <f>SUM(F77:F80)</f>
        <v>656251.45206000004</v>
      </c>
      <c r="G76" s="24">
        <f t="shared" si="18"/>
        <v>88.418466320332058</v>
      </c>
      <c r="H76" s="38">
        <f t="shared" si="20"/>
        <v>88.418466320332058</v>
      </c>
      <c r="I76" s="10">
        <f t="shared" si="21"/>
        <v>144957.33613000007</v>
      </c>
      <c r="J76" s="10">
        <f t="shared" si="22"/>
        <v>0.22088688059275616</v>
      </c>
    </row>
    <row r="77" spans="1:10" s="15" customFormat="1">
      <c r="A77" s="13" t="s">
        <v>69</v>
      </c>
      <c r="B77" s="14">
        <f>673329607.77/1000</f>
        <v>673329.60777</v>
      </c>
      <c r="C77" s="14">
        <f>501986908.2/1000</f>
        <v>501986.90820000001</v>
      </c>
      <c r="D77" s="24">
        <f t="shared" si="19"/>
        <v>74.552923621245498</v>
      </c>
      <c r="E77" s="14">
        <f>490856218.61/1000</f>
        <v>490856.21861000004</v>
      </c>
      <c r="F77" s="14">
        <f>406674806.39/1000</f>
        <v>406674.80638999998</v>
      </c>
      <c r="G77" s="24">
        <f t="shared" si="18"/>
        <v>82.85008745363686</v>
      </c>
      <c r="H77" s="38">
        <f t="shared" si="20"/>
        <v>82.85008745363686</v>
      </c>
      <c r="I77" s="10">
        <f t="shared" si="21"/>
        <v>95312.101810000022</v>
      </c>
      <c r="J77" s="10">
        <f t="shared" si="22"/>
        <v>0.23436932977499469</v>
      </c>
    </row>
    <row r="78" spans="1:10" s="15" customFormat="1">
      <c r="A78" s="13" t="s">
        <v>70</v>
      </c>
      <c r="B78" s="14">
        <f>533328552.37/1000</f>
        <v>533328.55237000005</v>
      </c>
      <c r="C78" s="14">
        <f>296881967.67/1000</f>
        <v>296881.96767000004</v>
      </c>
      <c r="D78" s="24">
        <f t="shared" si="19"/>
        <v>55.665867944012923</v>
      </c>
      <c r="E78" s="14">
        <f>249281077.67/1000</f>
        <v>249281.07767</v>
      </c>
      <c r="F78" s="14">
        <f>247503090.11/1000</f>
        <v>247503.09011000002</v>
      </c>
      <c r="G78" s="24">
        <f t="shared" si="18"/>
        <v>99.286753901812915</v>
      </c>
      <c r="H78" s="38">
        <v>0</v>
      </c>
      <c r="I78" s="10">
        <f t="shared" si="21"/>
        <v>49378.877560000023</v>
      </c>
      <c r="J78" s="10">
        <f t="shared" si="22"/>
        <v>0.199508125486652</v>
      </c>
    </row>
    <row r="79" spans="1:10" s="15" customFormat="1">
      <c r="A79" s="13" t="s">
        <v>93</v>
      </c>
      <c r="B79" s="14">
        <f>2339912.32/1000</f>
        <v>2339.9123199999999</v>
      </c>
      <c r="C79" s="14">
        <f>2339912.32/1000</f>
        <v>2339.9123199999999</v>
      </c>
      <c r="D79" s="24">
        <f t="shared" si="19"/>
        <v>100</v>
      </c>
      <c r="E79" s="14">
        <f>2073555.56/1000</f>
        <v>2073.5555600000002</v>
      </c>
      <c r="F79" s="14">
        <f>2073555.56/1000</f>
        <v>2073.5555600000002</v>
      </c>
      <c r="G79" s="24">
        <f t="shared" si="18"/>
        <v>100</v>
      </c>
      <c r="H79" s="38">
        <v>0</v>
      </c>
      <c r="I79" s="10">
        <f t="shared" si="21"/>
        <v>266.35675999999967</v>
      </c>
      <c r="J79" s="10">
        <f t="shared" si="22"/>
        <v>0.12845412254109054</v>
      </c>
    </row>
    <row r="80" spans="1:10" s="15" customFormat="1" ht="37.5">
      <c r="A80" s="13" t="s">
        <v>71</v>
      </c>
      <c r="B80" s="14">
        <v>0</v>
      </c>
      <c r="C80" s="14">
        <v>0</v>
      </c>
      <c r="D80" s="24">
        <v>0</v>
      </c>
      <c r="E80" s="14">
        <v>0</v>
      </c>
      <c r="F80" s="14">
        <v>0</v>
      </c>
      <c r="G80" s="24">
        <v>0</v>
      </c>
      <c r="H80" s="38">
        <v>0</v>
      </c>
      <c r="I80" s="10">
        <f t="shared" si="21"/>
        <v>0</v>
      </c>
      <c r="J80" s="10">
        <v>0</v>
      </c>
    </row>
    <row r="81" spans="1:12" s="15" customFormat="1">
      <c r="A81" s="13" t="s">
        <v>72</v>
      </c>
      <c r="B81" s="14">
        <f>44000000/1000</f>
        <v>44000</v>
      </c>
      <c r="C81" s="14">
        <f>44000000/1000</f>
        <v>44000</v>
      </c>
      <c r="D81" s="24">
        <f t="shared" si="19"/>
        <v>100</v>
      </c>
      <c r="E81" s="14">
        <f>SUM(E82:E83)</f>
        <v>43200</v>
      </c>
      <c r="F81" s="14">
        <f>SUM(F82:F83)</f>
        <v>43200</v>
      </c>
      <c r="G81" s="24">
        <f t="shared" ref="G81:G83" si="23">F81/E81*100</f>
        <v>100</v>
      </c>
      <c r="H81" s="38">
        <f t="shared" si="20"/>
        <v>100</v>
      </c>
      <c r="I81" s="10">
        <f t="shared" si="21"/>
        <v>800</v>
      </c>
      <c r="J81" s="10">
        <f t="shared" si="22"/>
        <v>1.8518518518518517E-2</v>
      </c>
    </row>
    <row r="82" spans="1:12" s="15" customFormat="1">
      <c r="A82" s="13" t="s">
        <v>87</v>
      </c>
      <c r="B82" s="14">
        <f>25000000/1000</f>
        <v>25000</v>
      </c>
      <c r="C82" s="14">
        <f>25000000/1000</f>
        <v>25000</v>
      </c>
      <c r="D82" s="24">
        <f t="shared" si="19"/>
        <v>100</v>
      </c>
      <c r="E82" s="14">
        <f>25000000/1000</f>
        <v>25000</v>
      </c>
      <c r="F82" s="14">
        <f>25000000/1000</f>
        <v>25000</v>
      </c>
      <c r="G82" s="24">
        <f t="shared" si="23"/>
        <v>100</v>
      </c>
      <c r="H82" s="38">
        <f t="shared" si="20"/>
        <v>100</v>
      </c>
      <c r="I82" s="10">
        <f t="shared" si="21"/>
        <v>0</v>
      </c>
      <c r="J82" s="10">
        <f>I82/F82</f>
        <v>0</v>
      </c>
    </row>
    <row r="83" spans="1:12" s="15" customFormat="1">
      <c r="A83" s="13" t="s">
        <v>73</v>
      </c>
      <c r="B83" s="14">
        <f>19000000/1000</f>
        <v>19000</v>
      </c>
      <c r="C83" s="14">
        <f>19000000/1000</f>
        <v>19000</v>
      </c>
      <c r="D83" s="24">
        <f t="shared" si="19"/>
        <v>100</v>
      </c>
      <c r="E83" s="14">
        <f>18200000/1000</f>
        <v>18200</v>
      </c>
      <c r="F83" s="14">
        <f>18200000/1000</f>
        <v>18200</v>
      </c>
      <c r="G83" s="24">
        <f t="shared" si="23"/>
        <v>100</v>
      </c>
      <c r="H83" s="38">
        <f t="shared" si="20"/>
        <v>100</v>
      </c>
      <c r="I83" s="10">
        <f t="shared" si="21"/>
        <v>800</v>
      </c>
      <c r="J83" s="10">
        <f t="shared" si="22"/>
        <v>4.3956043956043959E-2</v>
      </c>
    </row>
    <row r="84" spans="1:12" s="15" customFormat="1" ht="37.5">
      <c r="A84" s="13" t="s">
        <v>74</v>
      </c>
      <c r="B84" s="37">
        <v>0</v>
      </c>
      <c r="C84" s="37">
        <v>0</v>
      </c>
      <c r="D84" s="24">
        <v>0</v>
      </c>
      <c r="E84" s="37">
        <v>0</v>
      </c>
      <c r="F84" s="37">
        <v>0</v>
      </c>
      <c r="G84" s="24">
        <v>0</v>
      </c>
      <c r="H84" s="38">
        <v>0</v>
      </c>
      <c r="I84" s="10">
        <f t="shared" si="21"/>
        <v>0</v>
      </c>
      <c r="J84" s="10">
        <v>0</v>
      </c>
    </row>
    <row r="85" spans="1:12" s="15" customFormat="1" ht="37.5">
      <c r="A85" s="13" t="s">
        <v>75</v>
      </c>
      <c r="B85" s="37">
        <v>0</v>
      </c>
      <c r="C85" s="37">
        <v>0</v>
      </c>
      <c r="D85" s="24">
        <v>0</v>
      </c>
      <c r="E85" s="37">
        <v>0</v>
      </c>
      <c r="F85" s="37">
        <v>0</v>
      </c>
      <c r="G85" s="24">
        <v>0</v>
      </c>
      <c r="H85" s="38">
        <v>0</v>
      </c>
      <c r="I85" s="10">
        <f t="shared" si="21"/>
        <v>0</v>
      </c>
      <c r="J85" s="10">
        <v>0</v>
      </c>
    </row>
    <row r="86" spans="1:12" s="15" customFormat="1" ht="56.25">
      <c r="A86" s="13" t="s">
        <v>76</v>
      </c>
      <c r="B86" s="14">
        <f>2189099225.94/1000</f>
        <v>2189099.2259400003</v>
      </c>
      <c r="C86" s="14">
        <f>1886457743.17/1000</f>
        <v>1886457.7431700001</v>
      </c>
      <c r="D86" s="24">
        <f t="shared" si="19"/>
        <v>86.175067845997447</v>
      </c>
      <c r="E86" s="14">
        <f>SUM(E87:E88)</f>
        <v>1310052.2157000001</v>
      </c>
      <c r="F86" s="14">
        <f>SUM(F87:F88)</f>
        <v>1269448.6274600001</v>
      </c>
      <c r="G86" s="24">
        <f t="shared" ref="G86" si="24">F86/E86*100</f>
        <v>96.900612986765239</v>
      </c>
      <c r="H86" s="38">
        <f t="shared" si="20"/>
        <v>96.900612986765239</v>
      </c>
      <c r="I86" s="10">
        <f t="shared" si="21"/>
        <v>617009.11571000004</v>
      </c>
      <c r="J86" s="10">
        <f t="shared" si="22"/>
        <v>0.4860449665809275</v>
      </c>
    </row>
    <row r="87" spans="1:12" s="15" customFormat="1" ht="56.25">
      <c r="A87" s="13" t="s">
        <v>77</v>
      </c>
      <c r="B87" s="14">
        <f>869469956/1000</f>
        <v>869469.95600000001</v>
      </c>
      <c r="C87" s="14">
        <f>869469956/1000</f>
        <v>869469.95600000001</v>
      </c>
      <c r="D87" s="24">
        <f t="shared" si="19"/>
        <v>100</v>
      </c>
      <c r="E87" s="14">
        <f>720332200/1000</f>
        <v>720332.2</v>
      </c>
      <c r="F87" s="14">
        <f>720332200/1000</f>
        <v>720332.2</v>
      </c>
      <c r="G87" s="24">
        <v>0</v>
      </c>
      <c r="H87" s="38">
        <f t="shared" si="20"/>
        <v>100</v>
      </c>
      <c r="I87" s="10">
        <f t="shared" si="21"/>
        <v>149137.75600000005</v>
      </c>
      <c r="J87" s="10">
        <f t="shared" si="22"/>
        <v>0.20704024615309444</v>
      </c>
    </row>
    <row r="88" spans="1:12" s="15" customFormat="1">
      <c r="A88" s="13" t="s">
        <v>78</v>
      </c>
      <c r="B88" s="14">
        <f>1319629269.94/1000</f>
        <v>1319629.26994</v>
      </c>
      <c r="C88" s="14">
        <f>1016987787.17/1000</f>
        <v>1016987.7871699999</v>
      </c>
      <c r="D88" s="24">
        <f t="shared" si="19"/>
        <v>77.066173836553318</v>
      </c>
      <c r="E88" s="14">
        <f>589720015.7/1000</f>
        <v>589720.01570000011</v>
      </c>
      <c r="F88" s="14">
        <f>549116427.46/1000</f>
        <v>549116.42746000004</v>
      </c>
      <c r="G88" s="24">
        <f t="shared" ref="G88:G90" si="25">F88/E88*100</f>
        <v>93.11476850725451</v>
      </c>
      <c r="H88" s="38">
        <f t="shared" si="20"/>
        <v>93.11476850725451</v>
      </c>
      <c r="I88" s="10">
        <f t="shared" si="21"/>
        <v>467871.35970999987</v>
      </c>
      <c r="J88" s="10">
        <f t="shared" si="22"/>
        <v>0.85204400435476246</v>
      </c>
    </row>
    <row r="89" spans="1:12" s="15" customFormat="1">
      <c r="A89" s="16" t="s">
        <v>79</v>
      </c>
      <c r="B89" s="17">
        <f>-990257575.51/1000</f>
        <v>-990257.57551</v>
      </c>
      <c r="C89" s="17">
        <f>1050290248.12/1000</f>
        <v>1050290.2481200001</v>
      </c>
      <c r="D89" s="24">
        <f t="shared" si="19"/>
        <v>-106.06232904394417</v>
      </c>
      <c r="E89" s="17">
        <f>-566934132.9/1000</f>
        <v>-566934.13289999997</v>
      </c>
      <c r="F89" s="17">
        <f>273755946.09/1000</f>
        <v>273755.94608999998</v>
      </c>
      <c r="G89" s="24">
        <f t="shared" si="25"/>
        <v>-48.287081373928686</v>
      </c>
      <c r="H89" s="38">
        <f t="shared" si="20"/>
        <v>-48.287081373928686</v>
      </c>
      <c r="I89" s="10">
        <f t="shared" si="21"/>
        <v>776534.30203000014</v>
      </c>
      <c r="J89" s="10">
        <f t="shared" si="22"/>
        <v>2.8365933712895748</v>
      </c>
      <c r="K89" s="30"/>
      <c r="L89" s="30"/>
    </row>
    <row r="90" spans="1:12">
      <c r="A90" s="18" t="s">
        <v>80</v>
      </c>
      <c r="B90" s="8">
        <f>990257575.51/1000</f>
        <v>990257.57551</v>
      </c>
      <c r="C90" s="8">
        <f>-1050290248.12/1000</f>
        <v>-1050290.2481200001</v>
      </c>
      <c r="D90" s="24">
        <f t="shared" si="19"/>
        <v>-106.06232904394417</v>
      </c>
      <c r="E90" s="8">
        <f>566934132.9/1000</f>
        <v>566934.13289999997</v>
      </c>
      <c r="F90" s="8">
        <f>-273755946.09/1000</f>
        <v>-273755.94608999998</v>
      </c>
      <c r="G90" s="24">
        <f t="shared" si="25"/>
        <v>-48.287081373928686</v>
      </c>
      <c r="H90" s="38">
        <f t="shared" si="20"/>
        <v>-48.287081373928686</v>
      </c>
      <c r="I90" s="10">
        <f t="shared" si="21"/>
        <v>-776534.30203000014</v>
      </c>
      <c r="J90" s="10">
        <f t="shared" si="22"/>
        <v>2.8365933712895748</v>
      </c>
      <c r="K90" s="26"/>
    </row>
    <row r="91" spans="1:12">
      <c r="A91" s="20" t="s">
        <v>81</v>
      </c>
      <c r="B91" s="12"/>
      <c r="C91" s="12"/>
      <c r="D91" s="24"/>
      <c r="E91" s="12"/>
      <c r="F91" s="12"/>
      <c r="G91" s="25"/>
      <c r="H91" s="38"/>
      <c r="I91" s="10"/>
      <c r="J91" s="10"/>
    </row>
    <row r="92" spans="1:12">
      <c r="A92" s="21" t="s">
        <v>82</v>
      </c>
      <c r="B92" s="14">
        <f>-6700000/1000</f>
        <v>-6700</v>
      </c>
      <c r="C92" s="14">
        <f>7300000/1000</f>
        <v>7300</v>
      </c>
      <c r="D92" s="24">
        <f t="shared" si="19"/>
        <v>-108.95522388059702</v>
      </c>
      <c r="E92" s="14">
        <f>0/1000</f>
        <v>0</v>
      </c>
      <c r="F92" s="14">
        <f>-23300000/1000</f>
        <v>-23300</v>
      </c>
      <c r="G92" s="24">
        <v>0</v>
      </c>
      <c r="H92" s="38">
        <v>0</v>
      </c>
      <c r="I92" s="10">
        <f t="shared" si="21"/>
        <v>30600</v>
      </c>
      <c r="J92" s="10">
        <f t="shared" si="22"/>
        <v>-1.3133047210300428</v>
      </c>
    </row>
    <row r="94" spans="1:12">
      <c r="B94" s="26"/>
      <c r="J94" s="26"/>
      <c r="K94" s="26"/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2023-03-23T14:38:51Z</cp:lastPrinted>
  <dcterms:created xsi:type="dcterms:W3CDTF">2019-10-28T07:22:02Z</dcterms:created>
  <dcterms:modified xsi:type="dcterms:W3CDTF">2025-04-08T13:54:11Z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